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Ex2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trlProps/ctrlProp1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harts/chart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9"/>
  <workbookPr/>
  <mc:AlternateContent xmlns:mc="http://schemas.openxmlformats.org/markup-compatibility/2006">
    <mc:Choice Requires="x15">
      <x15ac:absPath xmlns:x15ac="http://schemas.microsoft.com/office/spreadsheetml/2010/11/ac" url="/Users/andreasteien/Desktop/02_Folders/06_Projects/02_Personal_projects/05_Website/01_Corporate_Valuation/02_MediMedia/"/>
    </mc:Choice>
  </mc:AlternateContent>
  <xr:revisionPtr revIDLastSave="0" documentId="13_ncr:1_{032147BB-9206-F842-9DB8-A948B361EA18}" xr6:coauthVersionLast="47" xr6:coauthVersionMax="47" xr10:uidLastSave="{00000000-0000-0000-0000-000000000000}"/>
  <bookViews>
    <workbookView xWindow="0" yWindow="740" windowWidth="29400" windowHeight="16620" activeTab="3" xr2:uid="{3691B583-BAF7-4BCE-A8A1-910F87AE43CD}"/>
  </bookViews>
  <sheets>
    <sheet name="COVER" sheetId="9" r:id="rId1"/>
    <sheet name="Valuation--&gt;" sheetId="26" r:id="rId2"/>
    <sheet name="APV" sheetId="15" r:id="rId3"/>
    <sheet name="LBO" sheetId="11" r:id="rId4"/>
    <sheet name="Debt valuation" sheetId="19" r:id="rId5"/>
    <sheet name="Peer Group" sheetId="1" r:id="rId6"/>
    <sheet name="Option pricing" sheetId="16" r:id="rId7"/>
    <sheet name="Inputs --&gt;" sheetId="10" r:id="rId8"/>
    <sheet name="Exhibit 7" sheetId="2" r:id="rId9"/>
    <sheet name="Exhibit 8" sheetId="3" r:id="rId10"/>
    <sheet name="Exhibit 9" sheetId="4" r:id="rId11"/>
    <sheet name="Exihibit 10" sheetId="18" r:id="rId12"/>
    <sheet name="Exhibit 11" sheetId="21" r:id="rId13"/>
    <sheet name="Debt items" sheetId="14" r:id="rId14"/>
    <sheet name="S&amp;U" sheetId="5" r:id="rId15"/>
    <sheet name="P&amp;L" sheetId="6" r:id="rId16"/>
    <sheet name="DCM rates" sheetId="12" r:id="rId17"/>
    <sheet name="LIBOR rates" sheetId="24" r:id="rId18"/>
    <sheet name="GDP Growth" sheetId="23" r:id="rId19"/>
    <sheet name="Archive--&gt;" sheetId="22" r:id="rId20"/>
    <sheet name="Implied interest rates" sheetId="25" r:id="rId21"/>
    <sheet name="Backup calcs" sheetId="13" r:id="rId22"/>
    <sheet name="Tables" sheetId="27" r:id="rId23"/>
  </sheets>
  <definedNames>
    <definedName name="_xlchart.v1.0" hidden="1">(APV!$B$70:$B$71,APV!$B$72:$B$73,APV!$B$77:$B$78)</definedName>
    <definedName name="_xlchart.v1.1" hidden="1">(APV!$C$70:$C$71,APV!$C$72:$C$73,APV!$C$77:$C$78)</definedName>
    <definedName name="_xlchart.v1.2" hidden="1">(APV!$B$70:$B$71,APV!$B$72:$B$73,APV!$B$77:$B$78)</definedName>
    <definedName name="_xlchart.v1.3" hidden="1">(APV!$C$70:$C$71,APV!$C$72:$C$73,APV!$C$77:$C$78)</definedName>
    <definedName name="_xlchart.v1.4" hidden="1">(APV!$B$70:$B$71,APV!$B$72:$B$73,APV!$B$77:$B$78)</definedName>
    <definedName name="_xlchart.v1.5" hidden="1">(APV!$C$70:$C$71,APV!$C$72:$C$73,APV!$C$77:$C$78)</definedName>
    <definedName name="ExternalData_1" localSheetId="16" hidden="1">'DCM rates'!$B$1:$J$48</definedName>
    <definedName name="_xlnm.Print_Area" localSheetId="0">COVER!$B$3:$V$43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0" i="19" l="1"/>
  <c r="I150" i="19"/>
  <c r="D143" i="19"/>
  <c r="D150" i="19" s="1"/>
  <c r="E143" i="19"/>
  <c r="E150" i="19" s="1"/>
  <c r="F143" i="19"/>
  <c r="F150" i="19" s="1"/>
  <c r="G143" i="19"/>
  <c r="H143" i="19"/>
  <c r="H150" i="19" s="1"/>
  <c r="I143" i="19"/>
  <c r="J143" i="19"/>
  <c r="J150" i="19" s="1"/>
  <c r="K143" i="19"/>
  <c r="K150" i="19" s="1"/>
  <c r="C143" i="19"/>
  <c r="C150" i="19" s="1"/>
  <c r="B147" i="19"/>
  <c r="B146" i="19"/>
  <c r="B145" i="19"/>
  <c r="B144" i="19"/>
  <c r="B143" i="19"/>
  <c r="C13" i="15"/>
  <c r="C6" i="15" l="1"/>
  <c r="D378" i="11"/>
  <c r="D384" i="11" s="1"/>
  <c r="I12" i="16"/>
  <c r="I13" i="16" s="1"/>
  <c r="I10" i="16"/>
  <c r="I9" i="16" s="1"/>
  <c r="H344" i="11"/>
  <c r="J344" i="11"/>
  <c r="K344" i="11"/>
  <c r="L344" i="11"/>
  <c r="M344" i="11"/>
  <c r="N344" i="11"/>
  <c r="G344" i="11"/>
  <c r="G267" i="11"/>
  <c r="G270" i="11" s="1"/>
  <c r="C80" i="15"/>
  <c r="N20" i="2"/>
  <c r="N21" i="2" s="1"/>
  <c r="J25" i="25" l="1"/>
  <c r="I25" i="25"/>
  <c r="H25" i="25"/>
  <c r="G25" i="25"/>
  <c r="F25" i="25"/>
  <c r="E25" i="25"/>
  <c r="D25" i="25"/>
  <c r="C25" i="25"/>
  <c r="J24" i="25"/>
  <c r="I24" i="25"/>
  <c r="H24" i="25"/>
  <c r="G24" i="25"/>
  <c r="F24" i="25"/>
  <c r="E24" i="25"/>
  <c r="D24" i="25"/>
  <c r="C24" i="25"/>
  <c r="J23" i="25"/>
  <c r="I23" i="25"/>
  <c r="H23" i="25"/>
  <c r="G23" i="25"/>
  <c r="F23" i="25"/>
  <c r="E23" i="25"/>
  <c r="D23" i="25"/>
  <c r="C23" i="25"/>
  <c r="J22" i="25"/>
  <c r="I22" i="25"/>
  <c r="H22" i="25"/>
  <c r="G22" i="25"/>
  <c r="F22" i="25"/>
  <c r="E22" i="25"/>
  <c r="D22" i="25"/>
  <c r="C22" i="25"/>
  <c r="J21" i="25"/>
  <c r="I21" i="25"/>
  <c r="H21" i="25"/>
  <c r="G21" i="25"/>
  <c r="F21" i="25"/>
  <c r="E21" i="25"/>
  <c r="D21" i="25"/>
  <c r="C21" i="25"/>
  <c r="C118" i="19"/>
  <c r="C119" i="19"/>
  <c r="C120" i="19"/>
  <c r="C117" i="19"/>
  <c r="R120" i="11"/>
  <c r="S120" i="11"/>
  <c r="T120" i="11"/>
  <c r="U120" i="11"/>
  <c r="V120" i="11"/>
  <c r="W120" i="11"/>
  <c r="X120" i="11"/>
  <c r="Q120" i="11"/>
  <c r="C10" i="16"/>
  <c r="F15" i="16"/>
  <c r="C77" i="15"/>
  <c r="C12" i="15"/>
  <c r="H222" i="11"/>
  <c r="I222" i="11"/>
  <c r="J222" i="11"/>
  <c r="K222" i="11"/>
  <c r="L222" i="11"/>
  <c r="M222" i="11"/>
  <c r="N222" i="11"/>
  <c r="G222" i="11"/>
  <c r="G342" i="11"/>
  <c r="G326" i="11"/>
  <c r="G322" i="11"/>
  <c r="G317" i="11"/>
  <c r="N317" i="11"/>
  <c r="N318" i="11"/>
  <c r="N316" i="11"/>
  <c r="N307" i="11"/>
  <c r="G307" i="11"/>
  <c r="N302" i="11"/>
  <c r="N303" i="11"/>
  <c r="N300" i="11"/>
  <c r="H300" i="11"/>
  <c r="I300" i="11"/>
  <c r="J300" i="11"/>
  <c r="K300" i="11"/>
  <c r="L300" i="11"/>
  <c r="M300" i="11"/>
  <c r="G300" i="11"/>
  <c r="H220" i="11"/>
  <c r="I220" i="11"/>
  <c r="J220" i="11"/>
  <c r="K220" i="11"/>
  <c r="L220" i="11"/>
  <c r="M220" i="11"/>
  <c r="N220" i="11"/>
  <c r="D220" i="11"/>
  <c r="E220" i="11"/>
  <c r="F220" i="11"/>
  <c r="G220" i="11"/>
  <c r="C220" i="11"/>
  <c r="C193" i="11"/>
  <c r="C121" i="19" l="1"/>
  <c r="D119" i="19" s="1"/>
  <c r="N304" i="11"/>
  <c r="H269" i="11"/>
  <c r="I60" i="15"/>
  <c r="J60" i="15"/>
  <c r="K60" i="15"/>
  <c r="L60" i="15"/>
  <c r="M60" i="15"/>
  <c r="N60" i="15"/>
  <c r="O60" i="15"/>
  <c r="H60" i="15"/>
  <c r="I59" i="15"/>
  <c r="J59" i="15"/>
  <c r="K59" i="15"/>
  <c r="L59" i="15"/>
  <c r="M59" i="15"/>
  <c r="N59" i="15"/>
  <c r="O59" i="15"/>
  <c r="H59" i="15"/>
  <c r="C22" i="16"/>
  <c r="C11" i="16"/>
  <c r="I35" i="16" s="1"/>
  <c r="F9" i="16"/>
  <c r="D29" i="19"/>
  <c r="G44" i="19" s="1"/>
  <c r="D5" i="19"/>
  <c r="F94" i="19"/>
  <c r="I334" i="11" s="1"/>
  <c r="I94" i="19"/>
  <c r="L334" i="11" s="1"/>
  <c r="J94" i="19"/>
  <c r="M334" i="11" s="1"/>
  <c r="K94" i="19"/>
  <c r="N334" i="11" s="1"/>
  <c r="L94" i="19"/>
  <c r="M94" i="19"/>
  <c r="D95" i="19"/>
  <c r="G335" i="11" s="1"/>
  <c r="E95" i="19"/>
  <c r="H335" i="11" s="1"/>
  <c r="F95" i="19"/>
  <c r="I335" i="11" s="1"/>
  <c r="G95" i="19"/>
  <c r="J335" i="11" s="1"/>
  <c r="H95" i="19"/>
  <c r="K335" i="11" s="1"/>
  <c r="I95" i="19"/>
  <c r="L335" i="11" s="1"/>
  <c r="J95" i="19"/>
  <c r="M335" i="11" s="1"/>
  <c r="K95" i="19"/>
  <c r="N335" i="11" s="1"/>
  <c r="L95" i="19"/>
  <c r="M95" i="19"/>
  <c r="D98" i="19"/>
  <c r="E98" i="19"/>
  <c r="F98" i="19"/>
  <c r="G98" i="19"/>
  <c r="H98" i="19"/>
  <c r="I98" i="19"/>
  <c r="J98" i="19"/>
  <c r="K98" i="19"/>
  <c r="L98" i="19"/>
  <c r="M98" i="19"/>
  <c r="C99" i="19"/>
  <c r="C101" i="19" s="1"/>
  <c r="D99" i="19" s="1"/>
  <c r="C104" i="19"/>
  <c r="C106" i="19" s="1"/>
  <c r="D106" i="19"/>
  <c r="C147" i="19" s="1"/>
  <c r="E106" i="19"/>
  <c r="D147" i="19" s="1"/>
  <c r="C85" i="19"/>
  <c r="H94" i="19" s="1"/>
  <c r="K334" i="11" s="1"/>
  <c r="C88" i="19"/>
  <c r="D94" i="19" s="1"/>
  <c r="G334" i="11" s="1"/>
  <c r="E62" i="19"/>
  <c r="F62" i="19" s="1"/>
  <c r="G62" i="19" s="1"/>
  <c r="H62" i="19" s="1"/>
  <c r="I62" i="19" s="1"/>
  <c r="J62" i="19" s="1"/>
  <c r="K62" i="19" s="1"/>
  <c r="L62" i="19" s="1"/>
  <c r="D63" i="19"/>
  <c r="E61" i="19" s="1"/>
  <c r="L64" i="19"/>
  <c r="N325" i="11" s="1"/>
  <c r="F65" i="19"/>
  <c r="E13" i="19"/>
  <c r="G303" i="11" s="1"/>
  <c r="F17" i="19"/>
  <c r="F11" i="19"/>
  <c r="F16" i="19" s="1"/>
  <c r="G11" i="19"/>
  <c r="G16" i="19" s="1"/>
  <c r="H11" i="19"/>
  <c r="H16" i="19" s="1"/>
  <c r="I11" i="19"/>
  <c r="I16" i="19" s="1"/>
  <c r="J11" i="19"/>
  <c r="J16" i="19" s="1"/>
  <c r="K11" i="19"/>
  <c r="K16" i="19" s="1"/>
  <c r="E11" i="19"/>
  <c r="E47" i="19"/>
  <c r="F48" i="19"/>
  <c r="I5" i="24"/>
  <c r="F47" i="19" s="1"/>
  <c r="J5" i="24"/>
  <c r="G47" i="19" s="1"/>
  <c r="K5" i="24"/>
  <c r="H47" i="19" s="1"/>
  <c r="L5" i="24"/>
  <c r="I47" i="19" s="1"/>
  <c r="M5" i="24"/>
  <c r="J47" i="19" s="1"/>
  <c r="N5" i="24"/>
  <c r="K47" i="19" s="1"/>
  <c r="O5" i="24"/>
  <c r="H5" i="24"/>
  <c r="F159" i="24"/>
  <c r="F147" i="24"/>
  <c r="F135" i="24"/>
  <c r="F123" i="24"/>
  <c r="F111" i="24"/>
  <c r="F99" i="24"/>
  <c r="F87" i="24"/>
  <c r="F75" i="24"/>
  <c r="I4" i="24"/>
  <c r="J4" i="24"/>
  <c r="K4" i="24"/>
  <c r="L4" i="24"/>
  <c r="M4" i="24"/>
  <c r="N4" i="24"/>
  <c r="O4" i="24"/>
  <c r="H4" i="24"/>
  <c r="D159" i="24"/>
  <c r="D147" i="24"/>
  <c r="D135" i="24"/>
  <c r="D123" i="24"/>
  <c r="D111" i="24"/>
  <c r="D99" i="24"/>
  <c r="D87" i="24"/>
  <c r="D75" i="24"/>
  <c r="J45" i="19"/>
  <c r="I45" i="19"/>
  <c r="H45" i="19"/>
  <c r="G45" i="19"/>
  <c r="F45" i="19"/>
  <c r="E45" i="19"/>
  <c r="BO272" i="23"/>
  <c r="BN272" i="23"/>
  <c r="BM272" i="23"/>
  <c r="BL272" i="23"/>
  <c r="BK272" i="23"/>
  <c r="BJ272" i="23"/>
  <c r="BI272" i="23"/>
  <c r="BH272" i="23"/>
  <c r="BG272" i="23"/>
  <c r="BF272" i="23"/>
  <c r="BE272" i="23"/>
  <c r="BD272" i="23"/>
  <c r="BC272" i="23"/>
  <c r="BB272" i="23"/>
  <c r="BA272" i="23"/>
  <c r="AZ272" i="23"/>
  <c r="AY272" i="23"/>
  <c r="AX272" i="23"/>
  <c r="AW272" i="23"/>
  <c r="AV272" i="23"/>
  <c r="AU272" i="23"/>
  <c r="AT272" i="23"/>
  <c r="AS272" i="23"/>
  <c r="AR272" i="23"/>
  <c r="AQ272" i="23"/>
  <c r="AP272" i="23"/>
  <c r="AO272" i="23"/>
  <c r="AN272" i="23"/>
  <c r="AM272" i="23"/>
  <c r="AL272" i="23"/>
  <c r="AK272" i="23"/>
  <c r="AJ272" i="23"/>
  <c r="AI272" i="23"/>
  <c r="F275" i="23" s="1"/>
  <c r="AH272" i="23"/>
  <c r="AG272" i="23"/>
  <c r="AF272" i="23"/>
  <c r="AE272" i="23"/>
  <c r="AD272" i="23"/>
  <c r="AC272" i="23"/>
  <c r="AB272" i="23"/>
  <c r="AA272" i="23"/>
  <c r="Z272" i="23"/>
  <c r="Y272" i="23"/>
  <c r="X272" i="23"/>
  <c r="W272" i="23"/>
  <c r="V272" i="23"/>
  <c r="U272" i="23"/>
  <c r="T272" i="23"/>
  <c r="S272" i="23"/>
  <c r="R272" i="23"/>
  <c r="Q272" i="23"/>
  <c r="P272" i="23"/>
  <c r="O272" i="23"/>
  <c r="N272" i="23"/>
  <c r="M272" i="23"/>
  <c r="L272" i="23"/>
  <c r="K272" i="23"/>
  <c r="J272" i="23"/>
  <c r="I272" i="23"/>
  <c r="H272" i="23"/>
  <c r="G272" i="23"/>
  <c r="F272" i="23"/>
  <c r="T138" i="1"/>
  <c r="I36" i="16"/>
  <c r="I32" i="16"/>
  <c r="I46" i="16"/>
  <c r="L44" i="16"/>
  <c r="L40" i="16"/>
  <c r="L33" i="16"/>
  <c r="F41" i="16"/>
  <c r="C51" i="16" s="1"/>
  <c r="D38" i="19"/>
  <c r="D28" i="19"/>
  <c r="F44" i="19" s="1"/>
  <c r="D30" i="19"/>
  <c r="H44" i="19" s="1"/>
  <c r="D31" i="19"/>
  <c r="I44" i="19" s="1"/>
  <c r="D32" i="19"/>
  <c r="J44" i="19" s="1"/>
  <c r="D27" i="19"/>
  <c r="E44" i="19" s="1"/>
  <c r="E28" i="19"/>
  <c r="E29" i="19"/>
  <c r="E30" i="19"/>
  <c r="E31" i="19"/>
  <c r="E32" i="19"/>
  <c r="E27" i="19"/>
  <c r="F33" i="19"/>
  <c r="E33" i="19" s="1"/>
  <c r="C33" i="19"/>
  <c r="D33" i="19" s="1"/>
  <c r="K44" i="19" s="1"/>
  <c r="E5" i="19"/>
  <c r="L156" i="1"/>
  <c r="D18" i="18"/>
  <c r="C21" i="18" s="1"/>
  <c r="C18" i="18"/>
  <c r="B21" i="18" s="1"/>
  <c r="E17" i="18"/>
  <c r="D17" i="18" s="1"/>
  <c r="B17" i="18"/>
  <c r="C17" i="18" s="1"/>
  <c r="D12" i="18"/>
  <c r="D13" i="18"/>
  <c r="D14" i="18"/>
  <c r="D15" i="18"/>
  <c r="D16" i="18"/>
  <c r="D11" i="18"/>
  <c r="C12" i="18"/>
  <c r="C13" i="18"/>
  <c r="C14" i="18"/>
  <c r="C15" i="18"/>
  <c r="C16" i="18"/>
  <c r="C11" i="18"/>
  <c r="G43" i="11"/>
  <c r="H102" i="11"/>
  <c r="H101" i="11" s="1"/>
  <c r="I362" i="11" s="1"/>
  <c r="I102" i="11"/>
  <c r="I101" i="11" s="1"/>
  <c r="J362" i="11" s="1"/>
  <c r="J102" i="11"/>
  <c r="J101" i="11" s="1"/>
  <c r="K362" i="11" s="1"/>
  <c r="K102" i="11"/>
  <c r="K101" i="11" s="1"/>
  <c r="L362" i="11" s="1"/>
  <c r="L102" i="11"/>
  <c r="L101" i="11" s="1"/>
  <c r="M362" i="11" s="1"/>
  <c r="M102" i="11"/>
  <c r="M101" i="11" s="1"/>
  <c r="N362" i="11" s="1"/>
  <c r="N102" i="11"/>
  <c r="N101" i="11" s="1"/>
  <c r="O362" i="11" s="1"/>
  <c r="G102" i="11"/>
  <c r="G101" i="11" s="1"/>
  <c r="C16" i="12"/>
  <c r="C19" i="12"/>
  <c r="G273" i="11"/>
  <c r="H147" i="1"/>
  <c r="C8" i="18"/>
  <c r="D8" i="18"/>
  <c r="C29" i="12"/>
  <c r="C5" i="14"/>
  <c r="C34" i="16" s="1"/>
  <c r="C35" i="16" s="1"/>
  <c r="H62" i="15"/>
  <c r="I62" i="15"/>
  <c r="J62" i="15"/>
  <c r="K62" i="15"/>
  <c r="L62" i="15"/>
  <c r="M62" i="15"/>
  <c r="N62" i="15"/>
  <c r="O62" i="15"/>
  <c r="O61" i="15"/>
  <c r="N61" i="15"/>
  <c r="M61" i="15"/>
  <c r="L61" i="15"/>
  <c r="K61" i="15"/>
  <c r="J61" i="15"/>
  <c r="I61" i="15"/>
  <c r="H61" i="15"/>
  <c r="H53" i="15"/>
  <c r="I53" i="15"/>
  <c r="J53" i="15"/>
  <c r="K53" i="15"/>
  <c r="L53" i="15"/>
  <c r="M53" i="15"/>
  <c r="N53" i="15"/>
  <c r="O53" i="15"/>
  <c r="H39" i="15"/>
  <c r="I39" i="15"/>
  <c r="J39" i="15"/>
  <c r="K39" i="15"/>
  <c r="L39" i="15"/>
  <c r="M39" i="15"/>
  <c r="N39" i="15"/>
  <c r="O39" i="15"/>
  <c r="H40" i="15"/>
  <c r="I40" i="15"/>
  <c r="J40" i="15"/>
  <c r="K40" i="15"/>
  <c r="L40" i="15"/>
  <c r="M40" i="15"/>
  <c r="N40" i="15"/>
  <c r="O40" i="15"/>
  <c r="P40" i="15" s="1"/>
  <c r="H41" i="15"/>
  <c r="I41" i="15"/>
  <c r="J41" i="15"/>
  <c r="K41" i="15"/>
  <c r="L41" i="15"/>
  <c r="M41" i="15"/>
  <c r="N41" i="15"/>
  <c r="O41" i="15"/>
  <c r="P39" i="15" s="1"/>
  <c r="H42" i="15"/>
  <c r="I42" i="15"/>
  <c r="J42" i="15"/>
  <c r="K42" i="15"/>
  <c r="L42" i="15"/>
  <c r="M42" i="15"/>
  <c r="N42" i="15"/>
  <c r="O42" i="15"/>
  <c r="H44" i="15"/>
  <c r="I44" i="15"/>
  <c r="J44" i="15"/>
  <c r="K44" i="15"/>
  <c r="L44" i="15"/>
  <c r="M44" i="15"/>
  <c r="N44" i="15"/>
  <c r="N45" i="15" s="1"/>
  <c r="O44" i="15"/>
  <c r="H46" i="15"/>
  <c r="I46" i="15"/>
  <c r="J46" i="15"/>
  <c r="K46" i="15"/>
  <c r="L46" i="15"/>
  <c r="M46" i="15"/>
  <c r="N46" i="15"/>
  <c r="O46" i="15"/>
  <c r="H48" i="15"/>
  <c r="I48" i="15"/>
  <c r="J48" i="15"/>
  <c r="K48" i="15"/>
  <c r="L48" i="15"/>
  <c r="M48" i="15"/>
  <c r="N48" i="15"/>
  <c r="O48" i="15"/>
  <c r="H50" i="15"/>
  <c r="I50" i="15"/>
  <c r="J50" i="15"/>
  <c r="K50" i="15"/>
  <c r="L50" i="15"/>
  <c r="M50" i="15"/>
  <c r="N50" i="15"/>
  <c r="O50" i="15"/>
  <c r="P50" i="15" s="1"/>
  <c r="H51" i="15"/>
  <c r="I51" i="15"/>
  <c r="J51" i="15"/>
  <c r="K51" i="15"/>
  <c r="L51" i="15"/>
  <c r="M51" i="15"/>
  <c r="N51" i="15"/>
  <c r="O51" i="15"/>
  <c r="E33" i="15"/>
  <c r="E32" i="15" s="1"/>
  <c r="F33" i="15"/>
  <c r="F32" i="15" s="1"/>
  <c r="G33" i="15"/>
  <c r="G32" i="15" s="1"/>
  <c r="H33" i="15"/>
  <c r="I33" i="15"/>
  <c r="J33" i="15"/>
  <c r="K33" i="15"/>
  <c r="C167" i="1" s="1"/>
  <c r="L33" i="15"/>
  <c r="M33" i="15"/>
  <c r="N33" i="15"/>
  <c r="O33" i="15"/>
  <c r="H34" i="15"/>
  <c r="I34" i="15"/>
  <c r="J34" i="15"/>
  <c r="K34" i="15"/>
  <c r="L34" i="15"/>
  <c r="M34" i="15"/>
  <c r="N34" i="15"/>
  <c r="O34" i="15"/>
  <c r="H36" i="15"/>
  <c r="I36" i="15"/>
  <c r="J36" i="15"/>
  <c r="K36" i="15"/>
  <c r="L36" i="15"/>
  <c r="M36" i="15"/>
  <c r="N36" i="15"/>
  <c r="O36" i="15"/>
  <c r="C24" i="15"/>
  <c r="D24" i="15"/>
  <c r="F24" i="15"/>
  <c r="G24" i="15"/>
  <c r="C25" i="15"/>
  <c r="D25" i="15"/>
  <c r="F25" i="15"/>
  <c r="G25" i="15"/>
  <c r="C26" i="15"/>
  <c r="D26" i="15"/>
  <c r="F26" i="15"/>
  <c r="G26" i="15"/>
  <c r="C27" i="15"/>
  <c r="D27" i="15"/>
  <c r="F27" i="15"/>
  <c r="G27" i="15"/>
  <c r="C28" i="15"/>
  <c r="D28" i="15"/>
  <c r="F28" i="15"/>
  <c r="G28" i="15"/>
  <c r="C29" i="15"/>
  <c r="D29" i="15"/>
  <c r="F29" i="15"/>
  <c r="G29" i="15"/>
  <c r="C30" i="15"/>
  <c r="D30" i="15"/>
  <c r="F30" i="15"/>
  <c r="G30" i="15"/>
  <c r="H173" i="11"/>
  <c r="I173" i="11"/>
  <c r="J173" i="11"/>
  <c r="K173" i="11"/>
  <c r="L173" i="11"/>
  <c r="M173" i="11"/>
  <c r="N173" i="11"/>
  <c r="G173" i="11"/>
  <c r="J213" i="11"/>
  <c r="K213" i="11" s="1"/>
  <c r="L213" i="11" s="1"/>
  <c r="M213" i="11" s="1"/>
  <c r="N213" i="11" s="1"/>
  <c r="G210" i="11"/>
  <c r="H210" i="11" s="1"/>
  <c r="I210" i="11" s="1"/>
  <c r="N207" i="11"/>
  <c r="M207" i="11"/>
  <c r="L207" i="11"/>
  <c r="K207" i="11"/>
  <c r="J207" i="11"/>
  <c r="I207" i="11"/>
  <c r="H207" i="11"/>
  <c r="G207" i="11"/>
  <c r="G206" i="11"/>
  <c r="H198" i="11"/>
  <c r="H236" i="11" s="1"/>
  <c r="I198" i="11"/>
  <c r="I236" i="11" s="1"/>
  <c r="J198" i="11"/>
  <c r="J236" i="11" s="1"/>
  <c r="K198" i="11"/>
  <c r="K236" i="11" s="1"/>
  <c r="L198" i="11"/>
  <c r="L236" i="11" s="1"/>
  <c r="M198" i="11"/>
  <c r="M236" i="11" s="1"/>
  <c r="N198" i="11"/>
  <c r="N236" i="11" s="1"/>
  <c r="G198" i="11"/>
  <c r="G236" i="11" s="1"/>
  <c r="H196" i="11"/>
  <c r="I196" i="11"/>
  <c r="J196" i="11"/>
  <c r="K196" i="11"/>
  <c r="L196" i="11"/>
  <c r="M196" i="11"/>
  <c r="N196" i="11"/>
  <c r="G196" i="11"/>
  <c r="H195" i="11"/>
  <c r="H233" i="11" s="1"/>
  <c r="I195" i="11"/>
  <c r="I233" i="11" s="1"/>
  <c r="J195" i="11"/>
  <c r="J233" i="11" s="1"/>
  <c r="K195" i="11"/>
  <c r="K233" i="11" s="1"/>
  <c r="L195" i="11"/>
  <c r="L233" i="11" s="1"/>
  <c r="M195" i="11"/>
  <c r="M233" i="11" s="1"/>
  <c r="N195" i="11"/>
  <c r="N233" i="11" s="1"/>
  <c r="G195" i="11"/>
  <c r="G233" i="11" s="1"/>
  <c r="H194" i="11"/>
  <c r="H232" i="11" s="1"/>
  <c r="I194" i="11"/>
  <c r="I232" i="11" s="1"/>
  <c r="J194" i="11"/>
  <c r="J232" i="11" s="1"/>
  <c r="K194" i="11"/>
  <c r="K232" i="11" s="1"/>
  <c r="L194" i="11"/>
  <c r="L232" i="11" s="1"/>
  <c r="M194" i="11"/>
  <c r="M232" i="11" s="1"/>
  <c r="N194" i="11"/>
  <c r="N232" i="11" s="1"/>
  <c r="G194" i="11"/>
  <c r="G232" i="11" s="1"/>
  <c r="D193" i="11"/>
  <c r="E193" i="11"/>
  <c r="F193" i="11"/>
  <c r="G193" i="11"/>
  <c r="H193" i="11"/>
  <c r="I193" i="11"/>
  <c r="J193" i="11"/>
  <c r="K193" i="11"/>
  <c r="L193" i="11"/>
  <c r="M193" i="11"/>
  <c r="N193" i="11"/>
  <c r="J52" i="15" l="1"/>
  <c r="J43" i="15"/>
  <c r="G42" i="11"/>
  <c r="H362" i="11"/>
  <c r="N52" i="15"/>
  <c r="N47" i="15"/>
  <c r="F274" i="23"/>
  <c r="M52" i="15"/>
  <c r="M47" i="15"/>
  <c r="K35" i="15"/>
  <c r="K63" i="15" s="1"/>
  <c r="K64" i="15" s="1"/>
  <c r="G271" i="11"/>
  <c r="J35" i="15"/>
  <c r="J63" i="15" s="1"/>
  <c r="J64" i="15" s="1"/>
  <c r="H35" i="15"/>
  <c r="H63" i="15" s="1"/>
  <c r="H64" i="15" s="1"/>
  <c r="M49" i="15"/>
  <c r="N49" i="15"/>
  <c r="O35" i="15"/>
  <c r="O63" i="15" s="1"/>
  <c r="O64" i="15" s="1"/>
  <c r="P64" i="15" s="1"/>
  <c r="N35" i="15"/>
  <c r="N63" i="15" s="1"/>
  <c r="N64" i="15" s="1"/>
  <c r="M35" i="15"/>
  <c r="M63" i="15" s="1"/>
  <c r="M64" i="15" s="1"/>
  <c r="L35" i="15"/>
  <c r="L63" i="15" s="1"/>
  <c r="L64" i="15" s="1"/>
  <c r="D120" i="19"/>
  <c r="D117" i="19"/>
  <c r="D118" i="19"/>
  <c r="G313" i="11"/>
  <c r="D101" i="19"/>
  <c r="E99" i="19" s="1"/>
  <c r="E101" i="19" s="1"/>
  <c r="F99" i="19" s="1"/>
  <c r="F101" i="19" s="1"/>
  <c r="G99" i="19" s="1"/>
  <c r="G101" i="19" s="1"/>
  <c r="H99" i="19" s="1"/>
  <c r="H101" i="19" s="1"/>
  <c r="I99" i="19" s="1"/>
  <c r="I101" i="19" s="1"/>
  <c r="J99" i="19" s="1"/>
  <c r="J101" i="19" s="1"/>
  <c r="K99" i="19" s="1"/>
  <c r="K101" i="19" s="1"/>
  <c r="L99" i="19" s="1"/>
  <c r="L101" i="19" s="1"/>
  <c r="G285" i="11"/>
  <c r="G234" i="11"/>
  <c r="Q121" i="11"/>
  <c r="Q122" i="11" s="1"/>
  <c r="N234" i="11"/>
  <c r="X121" i="11"/>
  <c r="X122" i="11" s="1"/>
  <c r="M234" i="11"/>
  <c r="W121" i="11"/>
  <c r="W122" i="11" s="1"/>
  <c r="L234" i="11"/>
  <c r="V121" i="11"/>
  <c r="V122" i="11" s="1"/>
  <c r="K234" i="11"/>
  <c r="U121" i="11"/>
  <c r="U122" i="11" s="1"/>
  <c r="J234" i="11"/>
  <c r="T121" i="11"/>
  <c r="T122" i="11" s="1"/>
  <c r="I234" i="11"/>
  <c r="S121" i="11"/>
  <c r="S122" i="11" s="1"/>
  <c r="H234" i="11"/>
  <c r="R121" i="11"/>
  <c r="R122" i="11" s="1"/>
  <c r="G48" i="19"/>
  <c r="G49" i="19" s="1"/>
  <c r="I318" i="11" s="1"/>
  <c r="H317" i="11"/>
  <c r="F64" i="19"/>
  <c r="H325" i="11" s="1"/>
  <c r="H316" i="11"/>
  <c r="K64" i="19"/>
  <c r="M325" i="11" s="1"/>
  <c r="M316" i="11"/>
  <c r="J12" i="19"/>
  <c r="L302" i="11" s="1"/>
  <c r="L316" i="11"/>
  <c r="I64" i="19"/>
  <c r="K325" i="11" s="1"/>
  <c r="K316" i="11"/>
  <c r="H12" i="19"/>
  <c r="J302" i="11" s="1"/>
  <c r="J316" i="11"/>
  <c r="G64" i="19"/>
  <c r="I325" i="11" s="1"/>
  <c r="I316" i="11"/>
  <c r="E49" i="19"/>
  <c r="G316" i="11"/>
  <c r="E16" i="19"/>
  <c r="E18" i="19" s="1"/>
  <c r="G17" i="19"/>
  <c r="G18" i="19" s="1"/>
  <c r="H307" i="11"/>
  <c r="G65" i="19"/>
  <c r="H326" i="11"/>
  <c r="L52" i="15"/>
  <c r="L49" i="15"/>
  <c r="L45" i="15"/>
  <c r="L43" i="15"/>
  <c r="O45" i="15"/>
  <c r="L32" i="15"/>
  <c r="M45" i="15"/>
  <c r="N43" i="15"/>
  <c r="I32" i="15"/>
  <c r="L47" i="15"/>
  <c r="K52" i="15"/>
  <c r="K49" i="15"/>
  <c r="K47" i="15"/>
  <c r="K45" i="15"/>
  <c r="J49" i="15"/>
  <c r="J47" i="15"/>
  <c r="J45" i="15"/>
  <c r="H32" i="15"/>
  <c r="N32" i="15"/>
  <c r="O43" i="15"/>
  <c r="M43" i="15"/>
  <c r="K43" i="15"/>
  <c r="M96" i="19"/>
  <c r="J96" i="19"/>
  <c r="L96" i="19"/>
  <c r="D96" i="19"/>
  <c r="G94" i="19"/>
  <c r="H96" i="19"/>
  <c r="K336" i="11" s="1"/>
  <c r="K96" i="19"/>
  <c r="N336" i="11" s="1"/>
  <c r="I96" i="19"/>
  <c r="F96" i="19"/>
  <c r="J64" i="19"/>
  <c r="E94" i="19"/>
  <c r="E63" i="19"/>
  <c r="F61" i="19" s="1"/>
  <c r="H64" i="19"/>
  <c r="E64" i="19"/>
  <c r="G12" i="19"/>
  <c r="I302" i="11" s="1"/>
  <c r="F12" i="19"/>
  <c r="H302" i="11" s="1"/>
  <c r="E12" i="19"/>
  <c r="I12" i="19"/>
  <c r="K302" i="11" s="1"/>
  <c r="K12" i="19"/>
  <c r="F13" i="19"/>
  <c r="H303" i="11" s="1"/>
  <c r="F18" i="19"/>
  <c r="F49" i="19"/>
  <c r="K45" i="19"/>
  <c r="O32" i="15"/>
  <c r="P33" i="15"/>
  <c r="P32" i="15" s="1"/>
  <c r="I34" i="16"/>
  <c r="D34" i="19"/>
  <c r="C37" i="19" s="1"/>
  <c r="E34" i="19"/>
  <c r="D37" i="19" s="1"/>
  <c r="G209" i="11"/>
  <c r="H209" i="11" s="1"/>
  <c r="H211" i="11" s="1"/>
  <c r="C22" i="13"/>
  <c r="I35" i="15"/>
  <c r="I63" i="15" s="1"/>
  <c r="I64" i="15" s="1"/>
  <c r="O47" i="15"/>
  <c r="O49" i="15"/>
  <c r="O52" i="15"/>
  <c r="P41" i="15"/>
  <c r="M32" i="15"/>
  <c r="K32" i="15"/>
  <c r="C163" i="1" s="1"/>
  <c r="J32" i="15"/>
  <c r="G208" i="11"/>
  <c r="H206" i="11" s="1"/>
  <c r="H208" i="11" s="1"/>
  <c r="I206" i="11" s="1"/>
  <c r="I208" i="11" s="1"/>
  <c r="J206" i="11" s="1"/>
  <c r="J208" i="11" s="1"/>
  <c r="K206" i="11" s="1"/>
  <c r="K208" i="11" s="1"/>
  <c r="L206" i="11" s="1"/>
  <c r="L208" i="11" s="1"/>
  <c r="M206" i="11" s="1"/>
  <c r="M208" i="11" s="1"/>
  <c r="N206" i="11" s="1"/>
  <c r="N208" i="11" s="1"/>
  <c r="J210" i="11"/>
  <c r="I211" i="11"/>
  <c r="D121" i="19" l="1"/>
  <c r="P52" i="15"/>
  <c r="P51" i="15" s="1"/>
  <c r="P47" i="15"/>
  <c r="P46" i="15" s="1"/>
  <c r="P49" i="15"/>
  <c r="P48" i="15" s="1"/>
  <c r="G301" i="11"/>
  <c r="G306" i="11" s="1"/>
  <c r="G308" i="11" s="1"/>
  <c r="H266" i="11"/>
  <c r="H270" i="11" s="1"/>
  <c r="P35" i="15"/>
  <c r="P34" i="15" s="1"/>
  <c r="P36" i="15" s="1"/>
  <c r="G13" i="19"/>
  <c r="I303" i="11" s="1"/>
  <c r="I304" i="11" s="1"/>
  <c r="G318" i="11"/>
  <c r="H102" i="19"/>
  <c r="H104" i="19" s="1"/>
  <c r="H106" i="19" s="1"/>
  <c r="G147" i="19" s="1"/>
  <c r="G336" i="11"/>
  <c r="F66" i="19"/>
  <c r="H327" i="11" s="1"/>
  <c r="G66" i="19"/>
  <c r="I327" i="11" s="1"/>
  <c r="G331" i="11"/>
  <c r="H318" i="11"/>
  <c r="M302" i="11"/>
  <c r="E14" i="19"/>
  <c r="G302" i="11"/>
  <c r="G304" i="11" s="1"/>
  <c r="H304" i="11"/>
  <c r="E66" i="19"/>
  <c r="E67" i="19" s="1"/>
  <c r="G325" i="11"/>
  <c r="J325" i="11"/>
  <c r="E96" i="19"/>
  <c r="H334" i="11"/>
  <c r="L325" i="11"/>
  <c r="F102" i="19"/>
  <c r="F104" i="19" s="1"/>
  <c r="F106" i="19" s="1"/>
  <c r="E147" i="19" s="1"/>
  <c r="I336" i="11"/>
  <c r="I102" i="19"/>
  <c r="I104" i="19" s="1"/>
  <c r="I106" i="19" s="1"/>
  <c r="H147" i="19" s="1"/>
  <c r="L336" i="11"/>
  <c r="G96" i="19"/>
  <c r="J334" i="11"/>
  <c r="J102" i="19"/>
  <c r="J104" i="19" s="1"/>
  <c r="J106" i="19" s="1"/>
  <c r="I147" i="19" s="1"/>
  <c r="M336" i="11"/>
  <c r="H65" i="19"/>
  <c r="I326" i="11"/>
  <c r="H17" i="19"/>
  <c r="I307" i="11"/>
  <c r="H48" i="19"/>
  <c r="I317" i="11"/>
  <c r="P45" i="15"/>
  <c r="P44" i="15" s="1"/>
  <c r="P43" i="15"/>
  <c r="P42" i="15" s="1"/>
  <c r="D103" i="19"/>
  <c r="M99" i="19"/>
  <c r="M101" i="19" s="1"/>
  <c r="M102" i="19" s="1"/>
  <c r="L102" i="19"/>
  <c r="L104" i="19" s="1"/>
  <c r="L106" i="19" s="1"/>
  <c r="K147" i="19" s="1"/>
  <c r="K102" i="19"/>
  <c r="K104" i="19" s="1"/>
  <c r="K106" i="19" s="1"/>
  <c r="J147" i="19" s="1"/>
  <c r="F63" i="19"/>
  <c r="G61" i="19" s="1"/>
  <c r="F14" i="19"/>
  <c r="F15" i="19" s="1"/>
  <c r="F19" i="19" s="1"/>
  <c r="F20" i="19" s="1"/>
  <c r="D144" i="19" s="1"/>
  <c r="D43" i="19"/>
  <c r="K51" i="19"/>
  <c r="C21" i="15"/>
  <c r="H212" i="11"/>
  <c r="H214" i="11" s="1"/>
  <c r="H197" i="11" s="1"/>
  <c r="G211" i="11"/>
  <c r="G212" i="11" s="1"/>
  <c r="G214" i="11" s="1"/>
  <c r="G197" i="11" s="1"/>
  <c r="I212" i="11"/>
  <c r="I214" i="11" s="1"/>
  <c r="I197" i="11" s="1"/>
  <c r="K210" i="11"/>
  <c r="J211" i="11"/>
  <c r="J212" i="11" s="1"/>
  <c r="K148" i="19" l="1"/>
  <c r="K149" i="19" s="1"/>
  <c r="E120" i="19"/>
  <c r="H301" i="11"/>
  <c r="H306" i="11" s="1"/>
  <c r="H308" i="11" s="1"/>
  <c r="G305" i="11"/>
  <c r="G309" i="11" s="1"/>
  <c r="G223" i="11" s="1"/>
  <c r="P53" i="15"/>
  <c r="G14" i="19"/>
  <c r="G15" i="19" s="1"/>
  <c r="G19" i="19" s="1"/>
  <c r="G20" i="19" s="1"/>
  <c r="E144" i="19" s="1"/>
  <c r="D44" i="11"/>
  <c r="G327" i="11"/>
  <c r="E42" i="19"/>
  <c r="F42" i="19" s="1"/>
  <c r="G42" i="19" s="1"/>
  <c r="H42" i="19" s="1"/>
  <c r="I42" i="19" s="1"/>
  <c r="J42" i="19" s="1"/>
  <c r="K42" i="19" s="1"/>
  <c r="I48" i="19"/>
  <c r="J317" i="11"/>
  <c r="H13" i="19"/>
  <c r="H49" i="19"/>
  <c r="I17" i="19"/>
  <c r="J307" i="11"/>
  <c r="H18" i="19"/>
  <c r="I65" i="19"/>
  <c r="J326" i="11"/>
  <c r="H66" i="19"/>
  <c r="G102" i="19"/>
  <c r="G104" i="19" s="1"/>
  <c r="G106" i="19" s="1"/>
  <c r="F147" i="19" s="1"/>
  <c r="J336" i="11"/>
  <c r="E103" i="19"/>
  <c r="H336" i="11"/>
  <c r="E15" i="19"/>
  <c r="E19" i="19" s="1"/>
  <c r="E20" i="19" s="1"/>
  <c r="C144" i="19" s="1"/>
  <c r="I199" i="11"/>
  <c r="I201" i="11" s="1"/>
  <c r="I235" i="11"/>
  <c r="G199" i="11"/>
  <c r="G235" i="11"/>
  <c r="H199" i="11"/>
  <c r="H201" i="11" s="1"/>
  <c r="H235" i="11"/>
  <c r="E70" i="19"/>
  <c r="C146" i="19" s="1"/>
  <c r="G63" i="19"/>
  <c r="H61" i="19" s="1"/>
  <c r="F67" i="19"/>
  <c r="F70" i="19" s="1"/>
  <c r="D146" i="19" s="1"/>
  <c r="D46" i="19"/>
  <c r="H215" i="11"/>
  <c r="G215" i="11"/>
  <c r="J214" i="11"/>
  <c r="J197" i="11" s="1"/>
  <c r="L210" i="11"/>
  <c r="K211" i="11"/>
  <c r="K212" i="11" s="1"/>
  <c r="I215" i="11"/>
  <c r="I266" i="11" l="1"/>
  <c r="H271" i="11"/>
  <c r="G260" i="11"/>
  <c r="Q123" i="11" s="1"/>
  <c r="Q127" i="11" s="1"/>
  <c r="M105" i="19"/>
  <c r="M106" i="19" s="1"/>
  <c r="H305" i="11"/>
  <c r="H309" i="11" s="1"/>
  <c r="H223" i="11" s="1"/>
  <c r="H260" i="11"/>
  <c r="R123" i="11" s="1"/>
  <c r="G201" i="11"/>
  <c r="I260" i="11"/>
  <c r="S123" i="11" s="1"/>
  <c r="J327" i="11"/>
  <c r="J65" i="19"/>
  <c r="K326" i="11"/>
  <c r="I66" i="19"/>
  <c r="J17" i="19"/>
  <c r="K307" i="11"/>
  <c r="I18" i="19"/>
  <c r="J318" i="11"/>
  <c r="J303" i="11"/>
  <c r="J304" i="11" s="1"/>
  <c r="H14" i="19"/>
  <c r="J48" i="19"/>
  <c r="K317" i="11"/>
  <c r="I13" i="19"/>
  <c r="I49" i="19"/>
  <c r="J199" i="11"/>
  <c r="J201" i="11" s="1"/>
  <c r="J235" i="11"/>
  <c r="E43" i="19"/>
  <c r="E46" i="19" s="1"/>
  <c r="F43" i="19" s="1"/>
  <c r="F46" i="19" s="1"/>
  <c r="G43" i="19" s="1"/>
  <c r="D52" i="19"/>
  <c r="G67" i="19"/>
  <c r="G70" i="19" s="1"/>
  <c r="E146" i="19" s="1"/>
  <c r="H63" i="19"/>
  <c r="I61" i="19" s="1"/>
  <c r="M210" i="11"/>
  <c r="L211" i="11"/>
  <c r="L212" i="11" s="1"/>
  <c r="K214" i="11"/>
  <c r="K197" i="11" s="1"/>
  <c r="J215" i="11"/>
  <c r="C108" i="19" l="1"/>
  <c r="Q129" i="11"/>
  <c r="G347" i="11" s="1"/>
  <c r="H355" i="11"/>
  <c r="R127" i="11"/>
  <c r="H15" i="19"/>
  <c r="E50" i="19"/>
  <c r="E52" i="19" s="1"/>
  <c r="C145" i="19" s="1"/>
  <c r="J260" i="11"/>
  <c r="T123" i="11" s="1"/>
  <c r="K318" i="11"/>
  <c r="K303" i="11"/>
  <c r="K304" i="11" s="1"/>
  <c r="I14" i="19"/>
  <c r="I15" i="19" s="1"/>
  <c r="I19" i="19" s="1"/>
  <c r="I20" i="19" s="1"/>
  <c r="G144" i="19" s="1"/>
  <c r="K48" i="19"/>
  <c r="L317" i="11"/>
  <c r="J13" i="19"/>
  <c r="J49" i="19"/>
  <c r="L307" i="11"/>
  <c r="J18" i="19"/>
  <c r="K17" i="19"/>
  <c r="K327" i="11"/>
  <c r="K65" i="19"/>
  <c r="L326" i="11"/>
  <c r="J66" i="19"/>
  <c r="K199" i="11"/>
  <c r="K201" i="11" s="1"/>
  <c r="K235" i="11"/>
  <c r="I63" i="19"/>
  <c r="J61" i="19" s="1"/>
  <c r="H67" i="19"/>
  <c r="H70" i="19" s="1"/>
  <c r="F146" i="19" s="1"/>
  <c r="F50" i="19"/>
  <c r="F52" i="19" s="1"/>
  <c r="D145" i="19" s="1"/>
  <c r="G46" i="19"/>
  <c r="H43" i="19" s="1"/>
  <c r="K215" i="11"/>
  <c r="L214" i="11"/>
  <c r="L197" i="11" s="1"/>
  <c r="N210" i="11"/>
  <c r="N211" i="11" s="1"/>
  <c r="N212" i="11" s="1"/>
  <c r="N214" i="11" s="1"/>
  <c r="M211" i="11"/>
  <c r="M212" i="11" s="1"/>
  <c r="M214" i="11" s="1"/>
  <c r="D148" i="19" l="1"/>
  <c r="D149" i="19" s="1"/>
  <c r="C148" i="19"/>
  <c r="C149" i="19" s="1"/>
  <c r="H19" i="19"/>
  <c r="H20" i="19" s="1"/>
  <c r="F144" i="19" s="1"/>
  <c r="R129" i="11"/>
  <c r="I355" i="11"/>
  <c r="S127" i="11"/>
  <c r="K260" i="11"/>
  <c r="U123" i="11" s="1"/>
  <c r="L327" i="11"/>
  <c r="L65" i="19"/>
  <c r="M326" i="11"/>
  <c r="K66" i="19"/>
  <c r="K18" i="19"/>
  <c r="M307" i="11"/>
  <c r="L318" i="11"/>
  <c r="J14" i="19"/>
  <c r="J15" i="19" s="1"/>
  <c r="J19" i="19" s="1"/>
  <c r="J20" i="19" s="1"/>
  <c r="H144" i="19" s="1"/>
  <c r="L303" i="11"/>
  <c r="L304" i="11" s="1"/>
  <c r="K13" i="19"/>
  <c r="M317" i="11"/>
  <c r="K49" i="19"/>
  <c r="E118" i="19" s="1"/>
  <c r="L199" i="11"/>
  <c r="L201" i="11" s="1"/>
  <c r="L235" i="11"/>
  <c r="G50" i="19"/>
  <c r="G52" i="19" s="1"/>
  <c r="E145" i="19" s="1"/>
  <c r="I67" i="19"/>
  <c r="I70" i="19" s="1"/>
  <c r="G146" i="19" s="1"/>
  <c r="J63" i="19"/>
  <c r="K61" i="19" s="1"/>
  <c r="H46" i="19"/>
  <c r="I43" i="19" s="1"/>
  <c r="L215" i="11"/>
  <c r="M215" i="11"/>
  <c r="M197" i="11"/>
  <c r="N215" i="11"/>
  <c r="N197" i="11"/>
  <c r="E148" i="19" l="1"/>
  <c r="E149" i="19" s="1"/>
  <c r="S129" i="11"/>
  <c r="I347" i="11" s="1"/>
  <c r="H347" i="11" s="1"/>
  <c r="J355" i="11"/>
  <c r="T127" i="11"/>
  <c r="L260" i="11"/>
  <c r="V123" i="11" s="1"/>
  <c r="M318" i="11"/>
  <c r="D42" i="11"/>
  <c r="M303" i="11"/>
  <c r="M304" i="11" s="1"/>
  <c r="K14" i="19"/>
  <c r="K15" i="19" s="1"/>
  <c r="K19" i="19" s="1"/>
  <c r="M327" i="11"/>
  <c r="N326" i="11"/>
  <c r="L66" i="19"/>
  <c r="E119" i="19" s="1"/>
  <c r="N199" i="11"/>
  <c r="N201" i="11" s="1"/>
  <c r="N235" i="11"/>
  <c r="M199" i="11"/>
  <c r="M201" i="11" s="1"/>
  <c r="M235" i="11"/>
  <c r="K63" i="19"/>
  <c r="L61" i="19" s="1"/>
  <c r="J67" i="19"/>
  <c r="J70" i="19" s="1"/>
  <c r="H146" i="19" s="1"/>
  <c r="H50" i="19"/>
  <c r="H52" i="19" s="1"/>
  <c r="F145" i="19" s="1"/>
  <c r="I46" i="19"/>
  <c r="J43" i="19" s="1"/>
  <c r="D19" i="14"/>
  <c r="D18" i="14"/>
  <c r="E8" i="14"/>
  <c r="D8" i="14"/>
  <c r="I13" i="5"/>
  <c r="J13" i="5"/>
  <c r="I14" i="5"/>
  <c r="J14" i="5"/>
  <c r="I15" i="5"/>
  <c r="J15" i="5"/>
  <c r="I16" i="5"/>
  <c r="J16" i="5"/>
  <c r="I17" i="5"/>
  <c r="J17" i="5"/>
  <c r="J12" i="5"/>
  <c r="I12" i="5"/>
  <c r="H142" i="1"/>
  <c r="J142" i="1"/>
  <c r="H143" i="1"/>
  <c r="J143" i="1"/>
  <c r="H144" i="1"/>
  <c r="J144" i="1"/>
  <c r="H145" i="1"/>
  <c r="J145" i="1"/>
  <c r="H146" i="1"/>
  <c r="J146" i="1"/>
  <c r="J147" i="1"/>
  <c r="H148" i="1"/>
  <c r="J148" i="1"/>
  <c r="H149" i="1"/>
  <c r="J149" i="1"/>
  <c r="H150" i="1"/>
  <c r="J150" i="1"/>
  <c r="H152" i="1"/>
  <c r="J152" i="1"/>
  <c r="H153" i="1"/>
  <c r="J153" i="1"/>
  <c r="H154" i="1"/>
  <c r="J154" i="1"/>
  <c r="J141" i="1"/>
  <c r="H141" i="1"/>
  <c r="N18" i="1"/>
  <c r="N9" i="1"/>
  <c r="N10" i="1"/>
  <c r="N11" i="1"/>
  <c r="N12" i="1"/>
  <c r="N13" i="1"/>
  <c r="N14" i="1"/>
  <c r="N15" i="1"/>
  <c r="N16" i="1"/>
  <c r="N17" i="1"/>
  <c r="N19" i="1"/>
  <c r="N20" i="1"/>
  <c r="D22" i="1"/>
  <c r="E22" i="1"/>
  <c r="F22" i="1"/>
  <c r="G22" i="1"/>
  <c r="H22" i="1"/>
  <c r="J22" i="1"/>
  <c r="L22" i="1"/>
  <c r="M22" i="1"/>
  <c r="C22" i="1"/>
  <c r="D21" i="1"/>
  <c r="C9" i="16" s="1"/>
  <c r="E21" i="1"/>
  <c r="F21" i="1"/>
  <c r="C20" i="13" s="1"/>
  <c r="C19" i="15" s="1"/>
  <c r="C20" i="15" s="1"/>
  <c r="G21" i="1"/>
  <c r="H21" i="1"/>
  <c r="J21" i="1"/>
  <c r="L21" i="1"/>
  <c r="M21" i="1"/>
  <c r="C21" i="1"/>
  <c r="F39" i="13"/>
  <c r="F38" i="13" s="1"/>
  <c r="G39" i="13"/>
  <c r="G38" i="13" s="1"/>
  <c r="E39" i="13"/>
  <c r="E38" i="13" s="1"/>
  <c r="D36" i="13"/>
  <c r="C36" i="13"/>
  <c r="G36" i="13"/>
  <c r="F36" i="13"/>
  <c r="G35" i="13"/>
  <c r="F35" i="13"/>
  <c r="D35" i="13"/>
  <c r="C35" i="13"/>
  <c r="I39" i="13"/>
  <c r="I38" i="13" s="1"/>
  <c r="J39" i="13"/>
  <c r="J38" i="13" s="1"/>
  <c r="J37" i="13" s="1"/>
  <c r="K39" i="13"/>
  <c r="K38" i="13" s="1"/>
  <c r="K37" i="13" s="1"/>
  <c r="L39" i="13"/>
  <c r="L38" i="13" s="1"/>
  <c r="L37" i="13" s="1"/>
  <c r="M39" i="13"/>
  <c r="M38" i="13" s="1"/>
  <c r="M37" i="13" s="1"/>
  <c r="N39" i="13"/>
  <c r="O39" i="13"/>
  <c r="I40" i="13"/>
  <c r="J40" i="13"/>
  <c r="K40" i="13"/>
  <c r="L40" i="13"/>
  <c r="M40" i="13"/>
  <c r="N40" i="13"/>
  <c r="O40" i="13"/>
  <c r="I42" i="13"/>
  <c r="J42" i="13"/>
  <c r="K42" i="13"/>
  <c r="L42" i="13"/>
  <c r="M42" i="13"/>
  <c r="N42" i="13"/>
  <c r="O42" i="13"/>
  <c r="I45" i="13"/>
  <c r="J45" i="13"/>
  <c r="K45" i="13"/>
  <c r="L45" i="13"/>
  <c r="M45" i="13"/>
  <c r="N45" i="13"/>
  <c r="O45" i="13"/>
  <c r="I46" i="13"/>
  <c r="J46" i="13"/>
  <c r="K46" i="13"/>
  <c r="L46" i="13"/>
  <c r="M46" i="13"/>
  <c r="N46" i="13"/>
  <c r="O46" i="13"/>
  <c r="P46" i="13" s="1"/>
  <c r="I47" i="13"/>
  <c r="J47" i="13"/>
  <c r="K47" i="13"/>
  <c r="L47" i="13"/>
  <c r="M47" i="13"/>
  <c r="N47" i="13"/>
  <c r="O47" i="13"/>
  <c r="I48" i="13"/>
  <c r="J48" i="13"/>
  <c r="K48" i="13"/>
  <c r="L48" i="13"/>
  <c r="M48" i="13"/>
  <c r="V48" i="13" s="1"/>
  <c r="N48" i="13"/>
  <c r="W48" i="13" s="1"/>
  <c r="O48" i="13"/>
  <c r="I49" i="13"/>
  <c r="J49" i="13"/>
  <c r="S49" i="13" s="1"/>
  <c r="K49" i="13"/>
  <c r="T49" i="13" s="1"/>
  <c r="L49" i="13"/>
  <c r="U49" i="13" s="1"/>
  <c r="M49" i="13"/>
  <c r="N49" i="13"/>
  <c r="W49" i="13" s="1"/>
  <c r="O49" i="13"/>
  <c r="I50" i="13"/>
  <c r="J50" i="13"/>
  <c r="K50" i="13"/>
  <c r="T50" i="13" s="1"/>
  <c r="L50" i="13"/>
  <c r="U50" i="13" s="1"/>
  <c r="M50" i="13"/>
  <c r="V50" i="13" s="1"/>
  <c r="N50" i="13"/>
  <c r="W50" i="13" s="1"/>
  <c r="O50" i="13"/>
  <c r="I51" i="13"/>
  <c r="J51" i="13"/>
  <c r="S51" i="13" s="1"/>
  <c r="K51" i="13"/>
  <c r="L51" i="13"/>
  <c r="U51" i="13" s="1"/>
  <c r="M51" i="13"/>
  <c r="N51" i="13"/>
  <c r="O51" i="13"/>
  <c r="I52" i="13"/>
  <c r="J52" i="13"/>
  <c r="K52" i="13"/>
  <c r="L52" i="13"/>
  <c r="M52" i="13"/>
  <c r="N52" i="13"/>
  <c r="O52" i="13"/>
  <c r="P52" i="13" s="1"/>
  <c r="I53" i="13"/>
  <c r="J53" i="13"/>
  <c r="S53" i="13" s="1"/>
  <c r="K53" i="13"/>
  <c r="L53" i="13"/>
  <c r="M53" i="13"/>
  <c r="N53" i="13"/>
  <c r="W53" i="13" s="1"/>
  <c r="O53" i="13"/>
  <c r="I54" i="13"/>
  <c r="J54" i="13"/>
  <c r="K54" i="13"/>
  <c r="L54" i="13"/>
  <c r="M54" i="13"/>
  <c r="N54" i="13"/>
  <c r="O54" i="13"/>
  <c r="H40" i="13"/>
  <c r="H42" i="13"/>
  <c r="H45" i="13"/>
  <c r="H46" i="13"/>
  <c r="H47" i="13"/>
  <c r="H48" i="13"/>
  <c r="H49" i="13"/>
  <c r="H50" i="13"/>
  <c r="H51" i="13"/>
  <c r="H52" i="13"/>
  <c r="H53" i="13"/>
  <c r="H54" i="13"/>
  <c r="H39" i="13"/>
  <c r="C31" i="13"/>
  <c r="D31" i="13"/>
  <c r="F31" i="13"/>
  <c r="G31" i="13"/>
  <c r="C32" i="13"/>
  <c r="D32" i="13"/>
  <c r="F32" i="13"/>
  <c r="G32" i="13"/>
  <c r="C33" i="13"/>
  <c r="D33" i="13"/>
  <c r="F33" i="13"/>
  <c r="G33" i="13"/>
  <c r="C34" i="13"/>
  <c r="D34" i="13"/>
  <c r="F34" i="13"/>
  <c r="G34" i="13"/>
  <c r="D30" i="13"/>
  <c r="F30" i="13"/>
  <c r="G30" i="13"/>
  <c r="C30" i="13"/>
  <c r="G56" i="11"/>
  <c r="G49" i="11"/>
  <c r="G182" i="11"/>
  <c r="H182" i="11"/>
  <c r="I182" i="11"/>
  <c r="J182" i="11"/>
  <c r="K182" i="11"/>
  <c r="L182" i="11"/>
  <c r="M182" i="11"/>
  <c r="N182" i="11"/>
  <c r="N181" i="11"/>
  <c r="M181" i="11"/>
  <c r="L181" i="11"/>
  <c r="K181" i="11"/>
  <c r="J181" i="11"/>
  <c r="I181" i="11"/>
  <c r="H181" i="11"/>
  <c r="H179" i="11" s="1"/>
  <c r="G181" i="11"/>
  <c r="G58" i="11"/>
  <c r="G41" i="11"/>
  <c r="K154" i="1" l="1"/>
  <c r="K153" i="1"/>
  <c r="K145" i="1"/>
  <c r="K151" i="1"/>
  <c r="K150" i="1"/>
  <c r="K141" i="1"/>
  <c r="K147" i="1"/>
  <c r="K152" i="1"/>
  <c r="K144" i="1"/>
  <c r="K143" i="1"/>
  <c r="K142" i="1"/>
  <c r="K149" i="1"/>
  <c r="K146" i="1"/>
  <c r="K148" i="1"/>
  <c r="F148" i="19"/>
  <c r="F149" i="19" s="1"/>
  <c r="I142" i="1"/>
  <c r="I150" i="1"/>
  <c r="I145" i="1"/>
  <c r="I147" i="1"/>
  <c r="I149" i="1"/>
  <c r="I143" i="1"/>
  <c r="I151" i="1"/>
  <c r="I153" i="1"/>
  <c r="I154" i="1"/>
  <c r="I148" i="1"/>
  <c r="I144" i="1"/>
  <c r="I152" i="1"/>
  <c r="I146" i="1"/>
  <c r="I141" i="1"/>
  <c r="T129" i="11"/>
  <c r="J347" i="11" s="1"/>
  <c r="K355" i="11"/>
  <c r="V53" i="13"/>
  <c r="S50" i="13"/>
  <c r="U48" i="13"/>
  <c r="O41" i="13"/>
  <c r="P41" i="13" s="1"/>
  <c r="N41" i="13"/>
  <c r="U53" i="13"/>
  <c r="W51" i="13"/>
  <c r="T48" i="13"/>
  <c r="T53" i="13"/>
  <c r="V51" i="13"/>
  <c r="Y51" i="13" s="1"/>
  <c r="P51" i="13" s="1"/>
  <c r="S48" i="13"/>
  <c r="K20" i="19"/>
  <c r="M41" i="13"/>
  <c r="L41" i="13"/>
  <c r="K41" i="13"/>
  <c r="J41" i="13"/>
  <c r="H38" i="13"/>
  <c r="H37" i="13" s="1"/>
  <c r="I41" i="13"/>
  <c r="P39" i="13"/>
  <c r="O38" i="13"/>
  <c r="T51" i="13"/>
  <c r="V49" i="13"/>
  <c r="Y49" i="13" s="1"/>
  <c r="P49" i="13" s="1"/>
  <c r="N38" i="13"/>
  <c r="N37" i="13" s="1"/>
  <c r="U127" i="11"/>
  <c r="E117" i="19"/>
  <c r="C123" i="19" s="1"/>
  <c r="M260" i="11"/>
  <c r="W123" i="11" s="1"/>
  <c r="N260" i="11"/>
  <c r="X123" i="11" s="1"/>
  <c r="N327" i="11"/>
  <c r="D43" i="11"/>
  <c r="C18" i="15" s="1"/>
  <c r="C18" i="14"/>
  <c r="C20" i="14" s="1"/>
  <c r="L63" i="19"/>
  <c r="L67" i="19" s="1"/>
  <c r="K67" i="19"/>
  <c r="K70" i="19" s="1"/>
  <c r="I146" i="19" s="1"/>
  <c r="I50" i="19"/>
  <c r="I52" i="19" s="1"/>
  <c r="G145" i="19" s="1"/>
  <c r="J46" i="19"/>
  <c r="K43" i="19" s="1"/>
  <c r="G48" i="11"/>
  <c r="G51" i="11" s="1"/>
  <c r="G55" i="11" s="1"/>
  <c r="G57" i="11" s="1"/>
  <c r="G45" i="11"/>
  <c r="G44" i="11"/>
  <c r="F364" i="11" s="1"/>
  <c r="N21" i="1"/>
  <c r="C15" i="13" s="1"/>
  <c r="C14" i="15" s="1"/>
  <c r="H156" i="1"/>
  <c r="C162" i="1" s="1"/>
  <c r="C164" i="1" s="1"/>
  <c r="J156" i="1"/>
  <c r="C166" i="1" s="1"/>
  <c r="C168" i="1" s="1"/>
  <c r="N22" i="1"/>
  <c r="C33" i="16"/>
  <c r="I33" i="16"/>
  <c r="M183" i="11"/>
  <c r="C21" i="13"/>
  <c r="D20" i="14"/>
  <c r="H41" i="13"/>
  <c r="X53" i="13"/>
  <c r="X51" i="13"/>
  <c r="X50" i="13"/>
  <c r="Y50" i="13"/>
  <c r="P50" i="13" s="1"/>
  <c r="X49" i="13"/>
  <c r="X48" i="13"/>
  <c r="Y48" i="13"/>
  <c r="P48" i="13" s="1"/>
  <c r="P47" i="13"/>
  <c r="P45" i="13"/>
  <c r="F183" i="11"/>
  <c r="I179" i="11"/>
  <c r="J179" i="11" s="1"/>
  <c r="K179" i="11" s="1"/>
  <c r="L179" i="11" s="1"/>
  <c r="M179" i="11" s="1"/>
  <c r="N179" i="11" s="1"/>
  <c r="K183" i="11"/>
  <c r="L183" i="11"/>
  <c r="H183" i="11"/>
  <c r="I183" i="11"/>
  <c r="J183" i="11"/>
  <c r="G183" i="11"/>
  <c r="G148" i="19" l="1"/>
  <c r="G149" i="19" s="1"/>
  <c r="C22" i="19"/>
  <c r="I144" i="19"/>
  <c r="F365" i="11"/>
  <c r="F372" i="11"/>
  <c r="I364" i="11"/>
  <c r="N364" i="11"/>
  <c r="J364" i="11"/>
  <c r="L364" i="11"/>
  <c r="K364" i="11"/>
  <c r="O364" i="11"/>
  <c r="M364" i="11"/>
  <c r="H364" i="11"/>
  <c r="U129" i="11"/>
  <c r="K347" i="11" s="1"/>
  <c r="L355" i="11"/>
  <c r="Y53" i="13"/>
  <c r="P53" i="13" s="1"/>
  <c r="O37" i="13"/>
  <c r="P38" i="13"/>
  <c r="P37" i="13" s="1"/>
  <c r="P40" i="13"/>
  <c r="P42" i="13" s="1"/>
  <c r="I37" i="13"/>
  <c r="V127" i="11"/>
  <c r="P65" i="15"/>
  <c r="I66" i="15"/>
  <c r="J66" i="15"/>
  <c r="K66" i="15"/>
  <c r="M66" i="15"/>
  <c r="N66" i="15"/>
  <c r="O66" i="15"/>
  <c r="H66" i="15"/>
  <c r="H67" i="15" s="1"/>
  <c r="L66" i="15"/>
  <c r="C16" i="13"/>
  <c r="C17" i="13" s="1"/>
  <c r="C23" i="13" s="1"/>
  <c r="M56" i="13" s="1"/>
  <c r="M57" i="13" s="1"/>
  <c r="O16" i="1"/>
  <c r="L70" i="19"/>
  <c r="J146" i="19" s="1"/>
  <c r="J50" i="19"/>
  <c r="J52" i="19" s="1"/>
  <c r="H145" i="19" s="1"/>
  <c r="K46" i="19"/>
  <c r="K50" i="19" s="1"/>
  <c r="K52" i="19" s="1"/>
  <c r="I145" i="19" s="1"/>
  <c r="O18" i="1"/>
  <c r="O19" i="1"/>
  <c r="O12" i="1"/>
  <c r="O13" i="1"/>
  <c r="O17" i="1"/>
  <c r="I148" i="19" l="1"/>
  <c r="I149" i="19" s="1"/>
  <c r="H148" i="19"/>
  <c r="H149" i="19" s="1"/>
  <c r="J148" i="19"/>
  <c r="J149" i="19" s="1"/>
  <c r="F384" i="11"/>
  <c r="F373" i="11"/>
  <c r="F378" i="11"/>
  <c r="F379" i="11" s="1"/>
  <c r="F380" i="11" s="1"/>
  <c r="F381" i="11" s="1"/>
  <c r="F390" i="11"/>
  <c r="F366" i="11"/>
  <c r="J365" i="11"/>
  <c r="N365" i="11"/>
  <c r="L365" i="11"/>
  <c r="I365" i="11"/>
  <c r="K365" i="11"/>
  <c r="O365" i="11"/>
  <c r="M365" i="11"/>
  <c r="H365" i="11"/>
  <c r="V129" i="11"/>
  <c r="L347" i="11" s="1"/>
  <c r="M355" i="11"/>
  <c r="P54" i="13"/>
  <c r="Q37" i="13"/>
  <c r="Q38" i="13" s="1"/>
  <c r="R38" i="13" s="1"/>
  <c r="S38" i="13" s="1"/>
  <c r="S39" i="13" s="1"/>
  <c r="W127" i="11"/>
  <c r="N355" i="11" s="1"/>
  <c r="P67" i="15"/>
  <c r="O15" i="1"/>
  <c r="O10" i="1"/>
  <c r="O9" i="1"/>
  <c r="O11" i="1"/>
  <c r="O14" i="1"/>
  <c r="O20" i="1"/>
  <c r="C54" i="19"/>
  <c r="P55" i="13"/>
  <c r="L56" i="13"/>
  <c r="L57" i="13" s="1"/>
  <c r="N56" i="13"/>
  <c r="N57" i="13" s="1"/>
  <c r="J56" i="13"/>
  <c r="J57" i="13" s="1"/>
  <c r="H56" i="13"/>
  <c r="H57" i="13" s="1"/>
  <c r="K56" i="13"/>
  <c r="K57" i="13" s="1"/>
  <c r="I56" i="13"/>
  <c r="I57" i="13" s="1"/>
  <c r="O56" i="13"/>
  <c r="O57" i="13" s="1"/>
  <c r="F367" i="11" l="1"/>
  <c r="I366" i="11"/>
  <c r="N366" i="11"/>
  <c r="L366" i="11"/>
  <c r="J366" i="11"/>
  <c r="K366" i="11"/>
  <c r="O366" i="11"/>
  <c r="M366" i="11"/>
  <c r="H366" i="11"/>
  <c r="F391" i="11"/>
  <c r="F374" i="11"/>
  <c r="F385" i="11"/>
  <c r="X127" i="11"/>
  <c r="W129" i="11"/>
  <c r="M347" i="11" s="1"/>
  <c r="O21" i="1"/>
  <c r="C17" i="15" s="1"/>
  <c r="O22" i="1"/>
  <c r="C61" i="13"/>
  <c r="P57" i="13"/>
  <c r="C62" i="13" s="1"/>
  <c r="N367" i="11" l="1"/>
  <c r="L367" i="11"/>
  <c r="O367" i="11"/>
  <c r="I367" i="11"/>
  <c r="J367" i="11"/>
  <c r="M367" i="11"/>
  <c r="K367" i="11"/>
  <c r="H367" i="11"/>
  <c r="F392" i="11"/>
  <c r="F375" i="11"/>
  <c r="F386" i="11"/>
  <c r="X129" i="11"/>
  <c r="N347" i="11" s="1"/>
  <c r="O355" i="11"/>
  <c r="C63" i="13"/>
  <c r="C66" i="13" s="1"/>
  <c r="Q130" i="11" l="1"/>
  <c r="F393" i="11"/>
  <c r="F387" i="11"/>
  <c r="D62" i="13"/>
  <c r="D61" i="13"/>
  <c r="C15" i="15" l="1"/>
  <c r="C16" i="15" s="1"/>
  <c r="L55" i="15" l="1"/>
  <c r="I55" i="15"/>
  <c r="O55" i="15"/>
  <c r="K55" i="15"/>
  <c r="M55" i="15"/>
  <c r="H55" i="15"/>
  <c r="H56" i="15" s="1"/>
  <c r="J55" i="15"/>
  <c r="N55" i="15"/>
  <c r="P54" i="15"/>
  <c r="I56" i="15" l="1"/>
  <c r="I67" i="15"/>
  <c r="J67" i="15"/>
  <c r="K67" i="15"/>
  <c r="L67" i="15"/>
  <c r="M67" i="15"/>
  <c r="N67" i="15"/>
  <c r="O67" i="15"/>
  <c r="J56" i="15"/>
  <c r="K56" i="15"/>
  <c r="L56" i="15"/>
  <c r="M56" i="15"/>
  <c r="N56" i="15"/>
  <c r="O56" i="15"/>
  <c r="G67" i="15" l="1"/>
  <c r="C70" i="15"/>
  <c r="C72" i="15"/>
  <c r="P56" i="15"/>
  <c r="C71" i="15" s="1"/>
  <c r="G56" i="15" l="1"/>
  <c r="C73" i="15"/>
  <c r="D73" i="15" s="1"/>
  <c r="L41" i="16"/>
  <c r="C76" i="15" l="1"/>
  <c r="D72" i="15"/>
  <c r="D70" i="15"/>
  <c r="D71" i="15"/>
  <c r="C78" i="15" l="1"/>
  <c r="D78" i="15" s="1"/>
  <c r="D77" i="15"/>
  <c r="L38" i="16"/>
  <c r="L42" i="16" s="1"/>
  <c r="L45" i="16" s="1"/>
  <c r="I31" i="16" s="1"/>
  <c r="I38" i="16" s="1"/>
  <c r="I39" i="16" s="1"/>
  <c r="I41" i="16" s="1"/>
  <c r="F14" i="16"/>
  <c r="F16" i="16" s="1"/>
  <c r="C7" i="16" s="1"/>
  <c r="C14" i="16" s="1"/>
  <c r="C81" i="15"/>
  <c r="I40" i="16" l="1"/>
  <c r="I43" i="16" s="1"/>
  <c r="C16" i="16"/>
  <c r="C15" i="16"/>
  <c r="C17" i="16" s="1"/>
  <c r="C19" i="16" l="1"/>
  <c r="C20" i="16" s="1"/>
  <c r="C21" i="16" s="1"/>
  <c r="I44" i="16"/>
  <c r="I45" i="16" s="1"/>
  <c r="I47" i="16" s="1"/>
  <c r="I8" i="16" l="1"/>
  <c r="C24" i="16"/>
  <c r="D69" i="19" s="1"/>
  <c r="D70" i="19" s="1"/>
  <c r="C72" i="19" s="1"/>
  <c r="C23" i="16"/>
  <c r="H354" i="11" l="1"/>
  <c r="H370" i="11" s="1"/>
  <c r="K354" i="11"/>
  <c r="K370" i="11" s="1"/>
  <c r="I354" i="11"/>
  <c r="I370" i="11" s="1"/>
  <c r="I374" i="11" s="1"/>
  <c r="O354" i="11"/>
  <c r="O370" i="11" s="1"/>
  <c r="O373" i="11" s="1"/>
  <c r="M354" i="11"/>
  <c r="M370" i="11" s="1"/>
  <c r="M373" i="11" s="1"/>
  <c r="J354" i="11"/>
  <c r="J370" i="11" s="1"/>
  <c r="J375" i="11" s="1"/>
  <c r="L354" i="11"/>
  <c r="L370" i="11" s="1"/>
  <c r="N354" i="11"/>
  <c r="N370" i="11" s="1"/>
  <c r="N374" i="11" s="1"/>
  <c r="N386" i="11" s="1"/>
  <c r="N392" i="11" s="1"/>
  <c r="K372" i="11" l="1"/>
  <c r="K374" i="11"/>
  <c r="K380" i="11" s="1"/>
  <c r="M379" i="11"/>
  <c r="M385" i="11"/>
  <c r="M391" i="11" s="1"/>
  <c r="J387" i="11"/>
  <c r="J393" i="11" s="1"/>
  <c r="J381" i="11"/>
  <c r="H372" i="11"/>
  <c r="H373" i="11"/>
  <c r="H375" i="11"/>
  <c r="I386" i="11"/>
  <c r="I392" i="11" s="1"/>
  <c r="I380" i="11"/>
  <c r="L375" i="11"/>
  <c r="L374" i="11"/>
  <c r="L373" i="11"/>
  <c r="N373" i="11"/>
  <c r="N385" i="11" s="1"/>
  <c r="N391" i="11" s="1"/>
  <c r="K384" i="11"/>
  <c r="K390" i="11" s="1"/>
  <c r="K378" i="11"/>
  <c r="O379" i="11"/>
  <c r="O385" i="11"/>
  <c r="O391" i="11" s="1"/>
  <c r="N380" i="11"/>
  <c r="J374" i="11"/>
  <c r="J372" i="11"/>
  <c r="N375" i="11"/>
  <c r="M375" i="11"/>
  <c r="M372" i="11"/>
  <c r="M374" i="11"/>
  <c r="L372" i="11"/>
  <c r="N372" i="11"/>
  <c r="O375" i="11"/>
  <c r="O372" i="11"/>
  <c r="I373" i="11"/>
  <c r="I372" i="11"/>
  <c r="K373" i="11"/>
  <c r="K375" i="11"/>
  <c r="I375" i="11"/>
  <c r="J373" i="11"/>
  <c r="O374" i="11"/>
  <c r="H374" i="11"/>
  <c r="K386" i="11" l="1"/>
  <c r="K392" i="11" s="1"/>
  <c r="N379" i="11"/>
  <c r="H384" i="11"/>
  <c r="H390" i="11" s="1"/>
  <c r="H378" i="11"/>
  <c r="L379" i="11"/>
  <c r="L385" i="11"/>
  <c r="L391" i="11" s="1"/>
  <c r="L386" i="11"/>
  <c r="L392" i="11" s="1"/>
  <c r="L380" i="11"/>
  <c r="H381" i="11"/>
  <c r="H387" i="11"/>
  <c r="H393" i="11" s="1"/>
  <c r="L381" i="11"/>
  <c r="L387" i="11"/>
  <c r="L393" i="11" s="1"/>
  <c r="H379" i="11"/>
  <c r="H385" i="11"/>
  <c r="H391" i="11" s="1"/>
  <c r="O380" i="11"/>
  <c r="O386" i="11"/>
  <c r="O392" i="11" s="1"/>
  <c r="N381" i="11"/>
  <c r="N387" i="11"/>
  <c r="N393" i="11" s="1"/>
  <c r="N384" i="11"/>
  <c r="N390" i="11" s="1"/>
  <c r="N378" i="11"/>
  <c r="I387" i="11"/>
  <c r="I393" i="11" s="1"/>
  <c r="I381" i="11"/>
  <c r="J386" i="11"/>
  <c r="J392" i="11" s="1"/>
  <c r="J380" i="11"/>
  <c r="M386" i="11"/>
  <c r="M392" i="11" s="1"/>
  <c r="M380" i="11"/>
  <c r="I378" i="11"/>
  <c r="I384" i="11"/>
  <c r="I390" i="11" s="1"/>
  <c r="M381" i="11"/>
  <c r="M387" i="11"/>
  <c r="M393" i="11" s="1"/>
  <c r="I385" i="11"/>
  <c r="I391" i="11" s="1"/>
  <c r="I379" i="11"/>
  <c r="O381" i="11"/>
  <c r="O387" i="11"/>
  <c r="O393" i="11" s="1"/>
  <c r="J385" i="11"/>
  <c r="J391" i="11" s="1"/>
  <c r="J379" i="11"/>
  <c r="J378" i="11"/>
  <c r="J384" i="11"/>
  <c r="J390" i="11" s="1"/>
  <c r="L384" i="11"/>
  <c r="L390" i="11" s="1"/>
  <c r="L378" i="11"/>
  <c r="K381" i="11"/>
  <c r="K387" i="11"/>
  <c r="K393" i="11" s="1"/>
  <c r="K385" i="11"/>
  <c r="K391" i="11" s="1"/>
  <c r="K379" i="11"/>
  <c r="M378" i="11"/>
  <c r="M384" i="11"/>
  <c r="M390" i="11" s="1"/>
  <c r="H380" i="11"/>
  <c r="H386" i="11"/>
  <c r="H392" i="11" s="1"/>
  <c r="O384" i="11"/>
  <c r="O390" i="11" s="1"/>
  <c r="O378" i="11"/>
  <c r="N291" i="11"/>
  <c r="N275" i="11"/>
  <c r="K228" i="11"/>
  <c r="K348" i="11"/>
  <c r="K346" i="11"/>
  <c r="L228" i="11"/>
  <c r="L348" i="11"/>
  <c r="L346" i="11"/>
  <c r="K308" i="11"/>
  <c r="K306" i="11"/>
  <c r="I230" i="11"/>
  <c r="L271" i="11"/>
  <c r="L269" i="11"/>
  <c r="I308" i="11"/>
  <c r="I306" i="11"/>
  <c r="N356" i="11"/>
  <c r="M287" i="11"/>
  <c r="H331" i="11"/>
  <c r="H333" i="11"/>
  <c r="H338" i="11"/>
  <c r="H339" i="11"/>
  <c r="H226" i="11"/>
  <c r="N345" i="11"/>
  <c r="N281" i="11"/>
  <c r="N276" i="11"/>
  <c r="N314" i="11"/>
  <c r="L308" i="11"/>
  <c r="L306" i="11"/>
  <c r="J294" i="11"/>
  <c r="J280" i="11"/>
  <c r="J286" i="11"/>
  <c r="J293" i="11"/>
  <c r="J343" i="11"/>
  <c r="G289" i="11"/>
  <c r="J226" i="11"/>
  <c r="J339" i="11"/>
  <c r="J337" i="11"/>
  <c r="J333" i="11"/>
  <c r="J331" i="11"/>
  <c r="N226" i="11"/>
  <c r="N339" i="11"/>
  <c r="N337" i="11"/>
  <c r="N333" i="11"/>
  <c r="N331" i="11"/>
  <c r="O356" i="11"/>
  <c r="N270" i="11"/>
  <c r="N287" i="11"/>
  <c r="K332" i="11"/>
  <c r="I225" i="11"/>
  <c r="I322" i="11"/>
  <c r="I324" i="11"/>
  <c r="I328" i="11"/>
  <c r="K291" i="11"/>
  <c r="K275" i="11"/>
  <c r="I226" i="11"/>
  <c r="I339" i="11"/>
  <c r="I331" i="11"/>
  <c r="I333" i="11"/>
  <c r="I337" i="11"/>
  <c r="H239" i="11"/>
  <c r="H231" i="11"/>
  <c r="H237" i="11"/>
  <c r="H268" i="11"/>
  <c r="C41" i="16"/>
  <c r="C39" i="16"/>
  <c r="K281" i="11"/>
  <c r="K314" i="11"/>
  <c r="M291" i="11"/>
  <c r="M275" i="11"/>
  <c r="L283" i="11"/>
  <c r="J230" i="11"/>
  <c r="H291" i="11"/>
  <c r="H275" i="11"/>
  <c r="K313" i="11"/>
  <c r="K315" i="11"/>
  <c r="K319" i="11"/>
  <c r="K224" i="11"/>
  <c r="G346" i="11"/>
  <c r="G348" i="11"/>
  <c r="G228" i="11"/>
  <c r="K323" i="11"/>
  <c r="H332" i="11"/>
  <c r="I313" i="11"/>
  <c r="I315" i="11"/>
  <c r="I319" i="11"/>
  <c r="I224" i="11"/>
  <c r="N269" i="11"/>
  <c r="N271" i="11"/>
  <c r="I239" i="11"/>
  <c r="M322" i="11"/>
  <c r="M324" i="11"/>
  <c r="M328" i="11"/>
  <c r="M225" i="11"/>
  <c r="M345" i="11"/>
  <c r="N342" i="11"/>
  <c r="N346" i="11"/>
  <c r="N348" i="11"/>
  <c r="N228" i="11"/>
  <c r="M356" i="11"/>
  <c r="L287" i="11"/>
  <c r="K239" i="11"/>
  <c r="K231" i="11"/>
  <c r="K237" i="11"/>
  <c r="K268" i="11"/>
  <c r="C52" i="16"/>
  <c r="C50" i="16"/>
  <c r="G230" i="11"/>
  <c r="J291" i="11"/>
  <c r="J275" i="11"/>
  <c r="H228" i="11"/>
  <c r="H348" i="11"/>
  <c r="H346" i="11"/>
  <c r="H323" i="11"/>
  <c r="K322" i="11"/>
  <c r="K324" i="11"/>
  <c r="K328" i="11"/>
  <c r="K225" i="11"/>
  <c r="M224" i="11"/>
  <c r="M319" i="11"/>
  <c r="M315" i="11"/>
  <c r="M313" i="11"/>
  <c r="I277" i="11"/>
  <c r="I274" i="11"/>
  <c r="J346" i="11"/>
  <c r="J348" i="11"/>
  <c r="J228" i="11"/>
  <c r="C49" i="16"/>
  <c r="L289" i="11"/>
  <c r="M306" i="11"/>
  <c r="M308" i="11"/>
  <c r="I283" i="11"/>
  <c r="J322" i="11"/>
  <c r="J324" i="11"/>
  <c r="J328" i="11"/>
  <c r="J225" i="11"/>
  <c r="M332" i="11"/>
  <c r="J306" i="11"/>
  <c r="J308" i="11"/>
  <c r="J224" i="11"/>
  <c r="J319" i="11"/>
  <c r="J315" i="11"/>
  <c r="J313" i="11"/>
  <c r="G283" i="11"/>
  <c r="M230" i="11"/>
  <c r="I275" i="11"/>
  <c r="I291" i="11"/>
  <c r="N332" i="11"/>
  <c r="N288" i="11"/>
  <c r="K301" i="11"/>
  <c r="K305" i="11"/>
  <c r="K309" i="11"/>
  <c r="K223" i="11"/>
  <c r="K227" i="11"/>
  <c r="K229" i="11"/>
  <c r="K230" i="11"/>
  <c r="G226" i="11"/>
  <c r="G339" i="11"/>
  <c r="G338" i="11"/>
  <c r="G332" i="11"/>
  <c r="G333" i="11"/>
  <c r="N306" i="11"/>
  <c r="N308" i="11"/>
  <c r="J289" i="11"/>
  <c r="N323" i="11"/>
  <c r="N282" i="11"/>
  <c r="L322" i="11"/>
  <c r="L324" i="11"/>
  <c r="L328" i="11"/>
  <c r="L225" i="11"/>
  <c r="M239" i="11"/>
  <c r="M301" i="11"/>
  <c r="M305" i="11"/>
  <c r="M309" i="11"/>
  <c r="M223" i="11"/>
  <c r="M227" i="11"/>
  <c r="M229" i="11"/>
  <c r="M231" i="11"/>
  <c r="M237" i="11"/>
  <c r="M268" i="11"/>
  <c r="H283" i="11"/>
  <c r="N283" i="11"/>
  <c r="L239" i="11"/>
  <c r="L231" i="11"/>
  <c r="L237" i="11"/>
  <c r="L268" i="11"/>
  <c r="I294" i="11"/>
  <c r="I280" i="11"/>
  <c r="I286" i="11"/>
  <c r="I293" i="11"/>
  <c r="I343" i="11"/>
  <c r="I332" i="11"/>
  <c r="L294" i="11"/>
  <c r="L280" i="11"/>
  <c r="L286" i="11"/>
  <c r="L293" i="11"/>
  <c r="L343" i="11"/>
  <c r="I281" i="11"/>
  <c r="I314" i="11"/>
  <c r="I344" i="11"/>
  <c r="I292" i="11"/>
  <c r="H294" i="11"/>
  <c r="M228" i="11"/>
  <c r="M348" i="11"/>
  <c r="I345" i="11"/>
  <c r="J342" i="11"/>
  <c r="J345" i="11"/>
  <c r="K342" i="11"/>
  <c r="K345" i="11"/>
  <c r="L342" i="11"/>
  <c r="L345" i="11"/>
  <c r="M342" i="11"/>
  <c r="M346" i="11"/>
  <c r="N343" i="11"/>
  <c r="N280" i="11"/>
  <c r="N286" i="11"/>
  <c r="N293" i="11"/>
  <c r="N294" i="11"/>
  <c r="H313" i="11"/>
  <c r="H315" i="11"/>
  <c r="H319" i="11"/>
  <c r="H224" i="11"/>
  <c r="H227" i="11"/>
  <c r="H229" i="11"/>
  <c r="H230" i="11"/>
  <c r="M277" i="11"/>
  <c r="M274" i="11"/>
  <c r="G291" i="11"/>
  <c r="J269" i="11"/>
  <c r="J271" i="11"/>
  <c r="M323" i="11"/>
  <c r="I323" i="11"/>
  <c r="L281" i="11"/>
  <c r="L314" i="11"/>
  <c r="H281" i="11"/>
  <c r="H287" i="11"/>
  <c r="I356" i="11"/>
  <c r="H314" i="11"/>
  <c r="M289" i="11"/>
  <c r="J283" i="11"/>
  <c r="N277" i="11"/>
  <c r="N274" i="11"/>
  <c r="K269" i="11"/>
  <c r="K271" i="11"/>
  <c r="J323" i="11"/>
  <c r="K226" i="11"/>
  <c r="K331" i="11"/>
  <c r="K333" i="11"/>
  <c r="K337" i="11"/>
  <c r="K339" i="11"/>
  <c r="K343" i="11"/>
  <c r="K280" i="11"/>
  <c r="K286" i="11"/>
  <c r="K293" i="11"/>
  <c r="K294" i="11"/>
  <c r="L332" i="11"/>
  <c r="H356" i="11"/>
  <c r="G277" i="11"/>
  <c r="I289" i="11"/>
  <c r="L274" i="11"/>
  <c r="L277" i="11"/>
  <c r="N224" i="11"/>
  <c r="N273" i="11"/>
  <c r="N313" i="11"/>
  <c r="N315" i="11"/>
  <c r="N319" i="11"/>
  <c r="N230" i="11"/>
  <c r="M281" i="11"/>
  <c r="L276" i="11"/>
  <c r="M273" i="11"/>
  <c r="M276" i="11"/>
  <c r="M314" i="11"/>
  <c r="K287" i="11"/>
  <c r="L356" i="11"/>
  <c r="J274" i="11"/>
  <c r="J277" i="11"/>
  <c r="G323" i="11"/>
  <c r="G324" i="11"/>
  <c r="G328" i="11"/>
  <c r="G225" i="11"/>
  <c r="K274" i="11"/>
  <c r="K277" i="11"/>
  <c r="L313" i="11"/>
  <c r="L315" i="11"/>
  <c r="L319" i="11"/>
  <c r="L224" i="11"/>
  <c r="K289" i="11"/>
  <c r="C43" i="16"/>
  <c r="C44" i="16"/>
  <c r="F40" i="16"/>
  <c r="F42" i="16"/>
  <c r="F45" i="16"/>
  <c r="C31" i="16"/>
  <c r="C38" i="16"/>
  <c r="C40" i="16"/>
  <c r="G239" i="11"/>
  <c r="I287" i="11"/>
  <c r="J356" i="11"/>
  <c r="I271" i="11"/>
  <c r="M283" i="11"/>
  <c r="G294" i="11"/>
  <c r="L301" i="11"/>
  <c r="L305" i="11"/>
  <c r="L309" i="11"/>
  <c r="L223" i="11"/>
  <c r="L227" i="11"/>
  <c r="L229" i="11"/>
  <c r="L230" i="11"/>
  <c r="L331" i="11"/>
  <c r="L333" i="11"/>
  <c r="L337" i="11"/>
  <c r="L339" i="11"/>
  <c r="L226" i="11"/>
  <c r="J332" i="11"/>
  <c r="H274" i="11"/>
  <c r="H277" i="11"/>
  <c r="K273" i="11"/>
  <c r="K276" i="11"/>
  <c r="L273" i="11"/>
  <c r="L275" i="11"/>
  <c r="L291" i="11"/>
  <c r="H289" i="11"/>
  <c r="M294" i="11"/>
  <c r="M280" i="11"/>
  <c r="M286" i="11"/>
  <c r="M293" i="11"/>
  <c r="M343" i="11"/>
  <c r="N268" i="11"/>
  <c r="M270" i="11"/>
  <c r="N266" i="11"/>
  <c r="N301" i="11"/>
  <c r="N305" i="11"/>
  <c r="N309" i="11"/>
  <c r="N223" i="11"/>
  <c r="N227" i="11"/>
  <c r="N229" i="11"/>
  <c r="N231" i="11"/>
  <c r="N237" i="11"/>
  <c r="N239" i="11"/>
  <c r="M271" i="11"/>
  <c r="K266" i="11"/>
  <c r="K270" i="11"/>
  <c r="L266" i="11"/>
  <c r="L270" i="11"/>
  <c r="M266" i="11"/>
  <c r="M269" i="11"/>
  <c r="L323" i="11"/>
  <c r="H280" i="11"/>
  <c r="H286" i="11"/>
  <c r="H293" i="11"/>
  <c r="H343" i="11"/>
  <c r="G280" i="11"/>
  <c r="G286" i="11"/>
  <c r="G293" i="11"/>
  <c r="G343" i="11"/>
  <c r="G345" i="11"/>
  <c r="H342" i="11"/>
  <c r="H345" i="11"/>
  <c r="I342" i="11"/>
  <c r="I346" i="11"/>
  <c r="I348" i="11"/>
  <c r="I228" i="11"/>
  <c r="M288" i="11"/>
  <c r="N285" i="11"/>
  <c r="N289" i="11"/>
  <c r="J287" i="11"/>
  <c r="J270" i="11"/>
  <c r="K356" i="11"/>
  <c r="J239" i="11"/>
  <c r="I301" i="11"/>
  <c r="I305" i="11"/>
  <c r="I309" i="11"/>
  <c r="I223" i="11"/>
  <c r="I227" i="11"/>
  <c r="I229" i="11"/>
  <c r="I231" i="11"/>
  <c r="I237" i="11"/>
  <c r="I268" i="11"/>
  <c r="I269" i="11"/>
  <c r="I270" i="11"/>
  <c r="J266" i="11"/>
  <c r="J301" i="11"/>
  <c r="J305" i="11"/>
  <c r="J309" i="11"/>
  <c r="J223" i="11"/>
  <c r="J227" i="11"/>
  <c r="J229" i="11"/>
  <c r="J231" i="11"/>
  <c r="J237" i="11"/>
  <c r="J268" i="11"/>
  <c r="J314" i="11"/>
  <c r="H273" i="11"/>
  <c r="H276" i="11"/>
  <c r="I273" i="11"/>
  <c r="I276" i="11"/>
  <c r="J273" i="11"/>
  <c r="J276" i="11"/>
  <c r="J281" i="11"/>
  <c r="K283" i="11"/>
  <c r="G287" i="11"/>
  <c r="G288" i="11"/>
  <c r="H285" i="11"/>
  <c r="H288" i="11"/>
  <c r="I285" i="11"/>
  <c r="I288" i="11"/>
  <c r="J285" i="11"/>
  <c r="J288" i="11"/>
  <c r="K285" i="11"/>
  <c r="K288" i="11"/>
  <c r="L285" i="11"/>
  <c r="L288" i="11"/>
  <c r="M285" i="11"/>
  <c r="M331" i="11"/>
  <c r="M333" i="11"/>
  <c r="M337" i="11"/>
  <c r="M339" i="11"/>
  <c r="M226" i="11"/>
  <c r="H322" i="11"/>
  <c r="H324" i="11"/>
  <c r="H328" i="11"/>
  <c r="H225" i="11"/>
  <c r="G314" i="11"/>
  <c r="G315" i="11"/>
  <c r="G319" i="11"/>
  <c r="G224" i="11"/>
  <c r="G227" i="11"/>
  <c r="G229" i="11"/>
  <c r="G231" i="11"/>
  <c r="G237" i="11"/>
  <c r="G268" i="11"/>
  <c r="G274" i="11"/>
  <c r="G275" i="11"/>
  <c r="G276" i="11"/>
  <c r="G281" i="11"/>
  <c r="G282" i="11"/>
  <c r="H279" i="11"/>
  <c r="H282" i="11"/>
  <c r="I279" i="11"/>
  <c r="I282" i="11"/>
  <c r="J279" i="11"/>
  <c r="J282" i="11"/>
  <c r="K279" i="11"/>
  <c r="K282" i="11"/>
  <c r="L279" i="11"/>
  <c r="L282" i="11"/>
  <c r="M279" i="11"/>
  <c r="M282" i="11"/>
  <c r="N279" i="11"/>
  <c r="N322" i="11"/>
  <c r="N324" i="11"/>
  <c r="N328" i="11"/>
  <c r="N225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Christoffer Ujcic</author>
  </authors>
  <commentList>
    <comment ref="B13" authorId="0" shapeId="0" xr:uid="{382FEDB2-F93F-476B-B8AF-16F49BA71D01}">
      <text>
        <r>
          <rPr>
            <b/>
            <sz val="9"/>
            <color rgb="FF000000"/>
            <rFont val="Tahoma"/>
            <family val="2"/>
          </rPr>
          <t>Christoffer Ujcic: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MRP per market weighted by the revenue split of MediMedia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Christoffer Ujcic</author>
  </authors>
  <commentList>
    <comment ref="B32" authorId="0" shapeId="0" xr:uid="{F4A5EE94-B069-441A-B11F-92B081A08560}">
      <text>
        <r>
          <rPr>
            <b/>
            <sz val="9"/>
            <color rgb="FF000000"/>
            <rFont val="Tahoma"/>
            <family val="2"/>
          </rPr>
          <t>Christoffer Ujcic: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Minimum cash equals the balance sheet cash PF after LBO, allowing for some cash reserves even with 100% cash sweep</t>
        </r>
      </text>
    </comment>
    <comment ref="B170" authorId="0" shapeId="0" xr:uid="{865C168F-D75F-49D7-93E4-2EF103B3FC40}">
      <text>
        <r>
          <rPr>
            <b/>
            <sz val="9"/>
            <color rgb="FF000000"/>
            <rFont val="Tahoma"/>
            <family val="2"/>
          </rPr>
          <t>Christoffer Ujcic: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Does not reflect the statement in the termsheet of the case of the vendor note -&gt; only year 1 and 2 have PIK interest. Therefore, we calculated it ourself and plugged it into the model</t>
        </r>
      </text>
    </comment>
    <comment ref="B217" authorId="0" shapeId="0" xr:uid="{06E290EA-F91B-477F-B8A2-B7AB111C5E90}">
      <text>
        <r>
          <rPr>
            <b/>
            <sz val="9"/>
            <color indexed="81"/>
            <rFont val="Tahoma"/>
            <family val="2"/>
          </rPr>
          <t>Christoffer Ujcic:</t>
        </r>
        <r>
          <rPr>
            <sz val="9"/>
            <color indexed="81"/>
            <rFont val="Tahoma"/>
            <family val="2"/>
          </rPr>
          <t xml:space="preserve">
Use a 100% cash sweep from year 2 on, since for year 1 and 2 early repayment will be punished with a penalty of 2.5% / 1.5% in year 1 resp. year 2 interest</t>
        </r>
      </text>
    </comment>
    <comment ref="B264" authorId="0" shapeId="0" xr:uid="{3BBF4D26-582E-4648-85C2-935B451F8C07}">
      <text>
        <r>
          <rPr>
            <b/>
            <sz val="9"/>
            <color indexed="81"/>
            <rFont val="Tahoma"/>
            <family val="2"/>
          </rPr>
          <t>Christoffer Ujcic:</t>
        </r>
        <r>
          <rPr>
            <sz val="9"/>
            <color indexed="81"/>
            <rFont val="Tahoma"/>
            <family val="2"/>
          </rPr>
          <t xml:space="preserve">
Use a 100% cash sweep from year 2 on, since for year 1 and 2 early repayment will be punished with a penalty of 2.5% / 1.5% in year 1 resp. year 2 interest</t>
        </r>
      </text>
    </comment>
    <comment ref="H269" authorId="0" shapeId="0" xr:uid="{F0B74F04-51B1-4D37-9822-79B72207FAB9}">
      <text>
        <r>
          <rPr>
            <b/>
            <sz val="9"/>
            <color indexed="81"/>
            <rFont val="Tahoma"/>
            <family val="2"/>
          </rPr>
          <t>Christoffer Ujcic:</t>
        </r>
        <r>
          <rPr>
            <sz val="9"/>
            <color indexed="81"/>
            <rFont val="Tahoma"/>
            <family val="2"/>
          </rPr>
          <t xml:space="preserve">
penalyt if voluntarly paid back in year 1 or year 2</t>
        </r>
      </text>
    </comment>
    <comment ref="F361" authorId="0" shapeId="0" xr:uid="{4615D128-17E8-41F6-AB17-557D1E7C5250}">
      <text>
        <r>
          <rPr>
            <b/>
            <sz val="9"/>
            <color indexed="81"/>
            <rFont val="Tahoma"/>
            <family val="2"/>
          </rPr>
          <t>Christoffer Ujcic:</t>
        </r>
        <r>
          <rPr>
            <sz val="9"/>
            <color indexed="81"/>
            <rFont val="Tahoma"/>
            <family val="2"/>
          </rPr>
          <t xml:space="preserve">
Implied multiple as lower boundary and peer group average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Christoffer Ujcic</author>
  </authors>
  <commentList>
    <comment ref="K20" authorId="0" shapeId="0" xr:uid="{ADBB3983-8825-4193-A549-932BC4D7CD81}">
      <text>
        <r>
          <rPr>
            <b/>
            <sz val="9"/>
            <color rgb="FF000000"/>
            <rFont val="Tahoma"/>
            <family val="2"/>
          </rPr>
          <t>Christoffer Ujcic: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We assume the payback of the credit facility at the end of our forecasted period (even though MediMedia would probably just roll it forward)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Christoffer Ujcic</author>
  </authors>
  <commentList>
    <comment ref="N7" authorId="0" shapeId="0" xr:uid="{13588B22-EBF1-4517-A799-EE682A51BD26}">
      <text>
        <r>
          <rPr>
            <b/>
            <sz val="9"/>
            <color rgb="FF000000"/>
            <rFont val="Tahoma"/>
            <family val="2"/>
          </rPr>
          <t>Christoffer Ujcic: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Assumption: Beta debt riskfree and beta asset equals beta tax shield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Christoffer Ujcic</author>
  </authors>
  <commentList>
    <comment ref="F12" authorId="0" shapeId="0" xr:uid="{5687BB09-6F8D-493B-A751-1F6DA4D4DB83}">
      <text>
        <r>
          <rPr>
            <b/>
            <sz val="9"/>
            <color rgb="FF000000"/>
            <rFont val="Tahoma"/>
            <family val="2"/>
          </rPr>
          <t>Christoffer Ujcic: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For unused portion of facility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9C55221-B7DB-4548-8EDE-56C4B6A5D9D8}" keepAlive="1" name="Query - Page020" description="Connection to the 'Page020' query in the workbook." type="5" refreshedVersion="8" background="1" saveData="1">
    <dbPr connection="Provider=Microsoft.Mashup.OleDb.1;Data Source=$Workbook$;Location=Page020;Extended Properties=&quot;&quot;" command="SELECT * FROM [Page020]"/>
  </connection>
  <connection id="2" xr16:uid="{D688FF4D-1CBD-4463-BA9B-C6905A3F6E66}" keepAlive="1" name="Query - Table013 (Page 18)" description="Connection to the 'Table013 (Page 18)' query in the workbook." type="5" refreshedVersion="0" background="1" saveData="1">
    <dbPr connection="Provider=Microsoft.Mashup.OleDb.1;Data Source=$Workbook$;Location=&quot;Table013 (Page 18)&quot;;Extended Properties=&quot;&quot;" command="SELECT * FROM [Table013 (Page 18)]"/>
  </connection>
  <connection id="3" xr16:uid="{99B15265-23E0-43F0-9C21-35E92F9C45DA}" keepAlive="1" name="Query - Table014 (Page 19)" description="Connection to the 'Table014 (Page 19)' query in the workbook." type="5" refreshedVersion="0" background="1" saveData="1">
    <dbPr connection="Provider=Microsoft.Mashup.OleDb.1;Data Source=$Workbook$;Location=&quot;Table014 (Page 19)&quot;;Extended Properties=&quot;&quot;" command="SELECT * FROM [Table014 (Page 19)]"/>
  </connection>
</connections>
</file>

<file path=xl/sharedStrings.xml><?xml version="1.0" encoding="utf-8"?>
<sst xmlns="http://schemas.openxmlformats.org/spreadsheetml/2006/main" count="3046" uniqueCount="1391">
  <si>
    <t>DCF - MediMedia</t>
  </si>
  <si>
    <t>Assumptions</t>
  </si>
  <si>
    <t>GDP Growth f275</t>
  </si>
  <si>
    <t>LTGR</t>
  </si>
  <si>
    <t>Average GDP Growth (forward-looking 1989-2022)</t>
  </si>
  <si>
    <t>Growth</t>
  </si>
  <si>
    <t>US MRP</t>
  </si>
  <si>
    <t>Damodaran: Implied premium 3,89% (S&amp;P 1990)</t>
  </si>
  <si>
    <t>WACC</t>
  </si>
  <si>
    <t>UK MRP (Proxy for EU)</t>
  </si>
  <si>
    <t>Damodaran: Historical premium (UK 1990)</t>
  </si>
  <si>
    <t>WACC computation</t>
  </si>
  <si>
    <t>riskfree rate</t>
  </si>
  <si>
    <t>x</t>
  </si>
  <si>
    <t>Case: 10y US Treasury Yield 7,92%</t>
  </si>
  <si>
    <t>MRP</t>
  </si>
  <si>
    <t>MRP per main market of MediMedia weighted by its revenue split</t>
  </si>
  <si>
    <t>Asset Beta Peer Group</t>
  </si>
  <si>
    <t>Peer Group Average</t>
  </si>
  <si>
    <t>Beta equity</t>
  </si>
  <si>
    <t>COE</t>
  </si>
  <si>
    <t>Beta debt</t>
  </si>
  <si>
    <t>Average cost of debt</t>
  </si>
  <si>
    <t>Average across debt segments</t>
  </si>
  <si>
    <t>Target D/V ratio</t>
  </si>
  <si>
    <t>Comp average</t>
  </si>
  <si>
    <t>Target D/E ratio</t>
  </si>
  <si>
    <t>(in line with the long term projection of the balance sheet)</t>
  </si>
  <si>
    <t>Tax rate</t>
  </si>
  <si>
    <t>Historical average</t>
  </si>
  <si>
    <t>$m</t>
  </si>
  <si>
    <t>1988 Nov</t>
  </si>
  <si>
    <t>TV</t>
  </si>
  <si>
    <t>Revenue</t>
  </si>
  <si>
    <t>Costs</t>
  </si>
  <si>
    <t>Local operating profit</t>
  </si>
  <si>
    <t>Central costs</t>
  </si>
  <si>
    <t>Operating profit</t>
  </si>
  <si>
    <t>Local operating profit margin (%)</t>
  </si>
  <si>
    <t>Operating profit margin (%)</t>
  </si>
  <si>
    <t>EBITDA</t>
  </si>
  <si>
    <t>EBIT</t>
  </si>
  <si>
    <t>Taxes</t>
  </si>
  <si>
    <t>EBIAT</t>
  </si>
  <si>
    <t>Cash Flow Adjustments</t>
  </si>
  <si>
    <t>(+) Depreciation</t>
  </si>
  <si>
    <t>(+) Incrs. Deferred Taxes</t>
  </si>
  <si>
    <t>(-) Capital Expenditures</t>
  </si>
  <si>
    <t>Metrics analysis</t>
  </si>
  <si>
    <t>3Y average</t>
  </si>
  <si>
    <t>(+) Decrs. in Accts. Recvbl.</t>
  </si>
  <si>
    <t>(+) Decrs. in Inventories</t>
  </si>
  <si>
    <t>(+) Decrs. in Prepaid Expenses</t>
  </si>
  <si>
    <t>(+) Incrs. in Accts. Payable</t>
  </si>
  <si>
    <t>(+) Incrs. in Taxes Payable</t>
  </si>
  <si>
    <t>(+) Incrs. in Accrued Liabs.</t>
  </si>
  <si>
    <t>Free Cash Flow</t>
  </si>
  <si>
    <t>Terminal Value</t>
  </si>
  <si>
    <t>Discount Factor</t>
  </si>
  <si>
    <t>PV (FCF)</t>
  </si>
  <si>
    <t>Forecast of Annual Debt Tax shields</t>
  </si>
  <si>
    <t>Interest expense</t>
  </si>
  <si>
    <t>– interest income</t>
  </si>
  <si>
    <t>– Interest not paid in cash</t>
  </si>
  <si>
    <t>Net deductible interest expense</t>
  </si>
  <si>
    <t>Annual tax reduction</t>
  </si>
  <si>
    <t>Enterprise Value (GGM)</t>
  </si>
  <si>
    <t>Sum of PV(FCF)</t>
  </si>
  <si>
    <t>PV TV</t>
  </si>
  <si>
    <t>Enterprise Value</t>
  </si>
  <si>
    <t>EV to EQ bridge</t>
  </si>
  <si>
    <t>Debt</t>
  </si>
  <si>
    <t>Equity Value</t>
  </si>
  <si>
    <t>Totally diluted shares outstanding</t>
  </si>
  <si>
    <t>Share price</t>
  </si>
  <si>
    <t>EV EQ bridge</t>
  </si>
  <si>
    <t>LBO - MediMedia</t>
  </si>
  <si>
    <t>General assumptions and calculation</t>
  </si>
  <si>
    <t>Case scenarios</t>
  </si>
  <si>
    <t>Investment assumptions</t>
  </si>
  <si>
    <t>Purchase price</t>
  </si>
  <si>
    <t>Minimum cash</t>
  </si>
  <si>
    <t>M&amp;A fee</t>
  </si>
  <si>
    <t>Mgmt rollover (pre-tax)</t>
  </si>
  <si>
    <t>Existing Ownership</t>
  </si>
  <si>
    <t>Transaction details</t>
  </si>
  <si>
    <t>Source &amp; Uses</t>
  </si>
  <si>
    <t>Sources</t>
  </si>
  <si>
    <t>interest rates</t>
  </si>
  <si>
    <t>Implied Multiple</t>
  </si>
  <si>
    <t>Existing liabilities</t>
  </si>
  <si>
    <t>Senior debt</t>
  </si>
  <si>
    <t>EBITDA 91E</t>
  </si>
  <si>
    <t>Mezzanine debt</t>
  </si>
  <si>
    <t>EBIT 91E</t>
  </si>
  <si>
    <t>Vendor note</t>
  </si>
  <si>
    <t>Implied EV / EBITDA Multiple</t>
  </si>
  <si>
    <t>Equity</t>
  </si>
  <si>
    <t>Implied EV / EBIT Multiple</t>
  </si>
  <si>
    <t>Total sources</t>
  </si>
  <si>
    <t>Offering equity value</t>
  </si>
  <si>
    <t>Uses</t>
  </si>
  <si>
    <t>Transaction Value</t>
  </si>
  <si>
    <t>(-) Debt</t>
  </si>
  <si>
    <t>Decr. net working capital</t>
  </si>
  <si>
    <t>(+) Cash</t>
  </si>
  <si>
    <t>Interest on purch. price</t>
  </si>
  <si>
    <t>Offering value</t>
  </si>
  <si>
    <t>Cost and expenses</t>
  </si>
  <si>
    <t>Total uses</t>
  </si>
  <si>
    <t>Goodwill calc</t>
  </si>
  <si>
    <t>Purchase of equity</t>
  </si>
  <si>
    <t>(-) Book Value of Equity</t>
  </si>
  <si>
    <t>(-/+) Other adj.</t>
  </si>
  <si>
    <t>New Goodwill</t>
  </si>
  <si>
    <t>IS / BS / FCF statements and projections</t>
  </si>
  <si>
    <t>Pro-forma balance sheet</t>
  </si>
  <si>
    <t>Pre-Closing</t>
  </si>
  <si>
    <t>Pro Forma</t>
  </si>
  <si>
    <t>Adjustments</t>
  </si>
  <si>
    <t>Net Assets</t>
  </si>
  <si>
    <t>Net Wkg Cap.</t>
  </si>
  <si>
    <t>Gross PP&amp;E</t>
  </si>
  <si>
    <t>Accd. Deprn.</t>
  </si>
  <si>
    <t>Net PP&amp;E</t>
  </si>
  <si>
    <t>Other LTA</t>
  </si>
  <si>
    <t>Goodwill</t>
  </si>
  <si>
    <t>Trans. Costs</t>
  </si>
  <si>
    <t>Total Net Assets</t>
  </si>
  <si>
    <t>Capital Structure</t>
  </si>
  <si>
    <t>Existing Debt</t>
  </si>
  <si>
    <t>Revolver</t>
  </si>
  <si>
    <t>Senior Term Debt</t>
  </si>
  <si>
    <t>Mezzanine Debt</t>
  </si>
  <si>
    <t>Junior Sub. Debt</t>
  </si>
  <si>
    <t>Total Debt</t>
  </si>
  <si>
    <t>Def. Tax</t>
  </si>
  <si>
    <t>Total Capital</t>
  </si>
  <si>
    <t>Full income statement projection</t>
  </si>
  <si>
    <t>1988 (Nov)</t>
  </si>
  <si>
    <t>D&amp;A</t>
  </si>
  <si>
    <t>Less interest on:</t>
  </si>
  <si>
    <t xml:space="preserve">    Existing debt</t>
  </si>
  <si>
    <t>N/A</t>
  </si>
  <si>
    <t xml:space="preserve">    Working cap. revolver</t>
  </si>
  <si>
    <t xml:space="preserve">    Senior-term loan</t>
  </si>
  <si>
    <t xml:space="preserve">    Mezzanine loan</t>
  </si>
  <si>
    <t xml:space="preserve">    Junior sub. debt</t>
  </si>
  <si>
    <t>- Total Interest Expense</t>
  </si>
  <si>
    <t>+ Interest Income</t>
  </si>
  <si>
    <t>- Tax Expense</t>
  </si>
  <si>
    <t>Net Income</t>
  </si>
  <si>
    <t>Balance sheet projections</t>
  </si>
  <si>
    <t>Nov 1990 PF</t>
  </si>
  <si>
    <t>Ending Debt/Equity</t>
  </si>
  <si>
    <t>Avg. Debt/Equity</t>
  </si>
  <si>
    <t>EBIT/Interest</t>
  </si>
  <si>
    <t>EBIT/Interest &amp; Principal Pmts.</t>
  </si>
  <si>
    <t>Cash Flow Projection</t>
  </si>
  <si>
    <t>Unlevered Free Cash Flow</t>
  </si>
  <si>
    <t>Forecast of Annual  Debt Tax Shields</t>
  </si>
  <si>
    <t>Interest Expense</t>
  </si>
  <si>
    <t>- Interest Income</t>
  </si>
  <si>
    <t>- Interest not paid in cash</t>
  </si>
  <si>
    <t>Net Deductible Interest Exp.</t>
  </si>
  <si>
    <t>Annual Tax Reduction</t>
  </si>
  <si>
    <t>Depreciation schedule</t>
  </si>
  <si>
    <t>1990 PF (Nov)</t>
  </si>
  <si>
    <t>(Net) Starting PP&amp;E</t>
  </si>
  <si>
    <t>Depr.</t>
  </si>
  <si>
    <t>Capex</t>
  </si>
  <si>
    <t>Ending balance PP&amp;E</t>
  </si>
  <si>
    <t>FCF for debt repayment / Debt schedule</t>
  </si>
  <si>
    <t>As planned / Scenario 1</t>
  </si>
  <si>
    <t>Net income</t>
  </si>
  <si>
    <t>Change in NWC</t>
  </si>
  <si>
    <t>Non-cash interest</t>
  </si>
  <si>
    <t>Change in deferred tax</t>
  </si>
  <si>
    <t>FCF for debt paydown</t>
  </si>
  <si>
    <t>Suggested FCF for debt paydown from Exhibit 7</t>
  </si>
  <si>
    <t>Delta</t>
  </si>
  <si>
    <t>Non-cash interest calculation</t>
  </si>
  <si>
    <t>Beginnnig balance</t>
  </si>
  <si>
    <t>Repayment</t>
  </si>
  <si>
    <t>Ending balance</t>
  </si>
  <si>
    <t>Interest floor</t>
  </si>
  <si>
    <t>Interest premium</t>
  </si>
  <si>
    <t>Interest total</t>
  </si>
  <si>
    <t>Interest paid</t>
  </si>
  <si>
    <t>PIK switch</t>
  </si>
  <si>
    <t>PIK paid</t>
  </si>
  <si>
    <t>Scenario 2: Aggressive paydown (100% cash sweep assumed)</t>
  </si>
  <si>
    <t>EBT</t>
  </si>
  <si>
    <t>Debt schedule</t>
  </si>
  <si>
    <t>As planned</t>
  </si>
  <si>
    <t xml:space="preserve">   Senior Term</t>
  </si>
  <si>
    <t xml:space="preserve">   Mezzanine</t>
  </si>
  <si>
    <t xml:space="preserve">   Junior Sub.</t>
  </si>
  <si>
    <t>Total Scheduled Debt Repay.</t>
  </si>
  <si>
    <t>Revolver Repayment</t>
  </si>
  <si>
    <t>Scenario 1</t>
  </si>
  <si>
    <t>Cash balance raisail</t>
  </si>
  <si>
    <t>Foregoing interest income for lower interest expenses</t>
  </si>
  <si>
    <t>Revolver beginning balance</t>
  </si>
  <si>
    <t>Revolver Repayment possibility</t>
  </si>
  <si>
    <t>Revolver Repayment effective</t>
  </si>
  <si>
    <t>Revolver ending balance</t>
  </si>
  <si>
    <t>Senior Term Beginning Balance</t>
  </si>
  <si>
    <t xml:space="preserve">   Senior Term paydown possibility</t>
  </si>
  <si>
    <t xml:space="preserve">   Senior Term paydown effective</t>
  </si>
  <si>
    <t>Senior Term Ending Balance</t>
  </si>
  <si>
    <t>Mezzanine Beginning Balance</t>
  </si>
  <si>
    <t xml:space="preserve">   Mezzanine paydown possibility</t>
  </si>
  <si>
    <t xml:space="preserve">   Mezzanine paydown effective</t>
  </si>
  <si>
    <t>Mezzanine Ending Balance</t>
  </si>
  <si>
    <t>Vendor note beginning balance</t>
  </si>
  <si>
    <t xml:space="preserve">   Vendor note paydown possibility</t>
  </si>
  <si>
    <t xml:space="preserve">   Vendor note paydown effective</t>
  </si>
  <si>
    <t>Vendor note ending balance</t>
  </si>
  <si>
    <t>Interest expenses on debt tranches</t>
  </si>
  <si>
    <t>Revolving Debt Facility</t>
  </si>
  <si>
    <t>Revolving Debt Capacity</t>
  </si>
  <si>
    <t>In use</t>
  </si>
  <si>
    <t>LIBOR</t>
  </si>
  <si>
    <t>Premium</t>
  </si>
  <si>
    <t>Interest rate (LIBOR + 2.25%)</t>
  </si>
  <si>
    <t>Interest payment</t>
  </si>
  <si>
    <t>Unused revolver capacity</t>
  </si>
  <si>
    <t>Commitment fee</t>
  </si>
  <si>
    <t>Revolving debt commitment</t>
  </si>
  <si>
    <t>Interest + commitment fee</t>
  </si>
  <si>
    <t xml:space="preserve">Senior Term Debt </t>
  </si>
  <si>
    <t>Senior Term Debt Beginning Balance</t>
  </si>
  <si>
    <t>Senior Term Debt Ending Balance</t>
  </si>
  <si>
    <t>Average senior term balance</t>
  </si>
  <si>
    <t>Mezzanine</t>
  </si>
  <si>
    <t>Average mezzanine balance</t>
  </si>
  <si>
    <t>Interest rate (LIBOR + 3.25%)</t>
  </si>
  <si>
    <t>Subordinated vendor note</t>
  </si>
  <si>
    <t>DCM rates</t>
  </si>
  <si>
    <t>Premium on DCM rates</t>
  </si>
  <si>
    <t>Interest rate</t>
  </si>
  <si>
    <t>Maturity vs reset date</t>
  </si>
  <si>
    <t>Average vendor note balance</t>
  </si>
  <si>
    <t>Coupons</t>
  </si>
  <si>
    <t>PIK</t>
  </si>
  <si>
    <t>Cash flow</t>
  </si>
  <si>
    <t>PIK compounded</t>
  </si>
  <si>
    <t>Sum</t>
  </si>
  <si>
    <t>Interest income</t>
  </si>
  <si>
    <t>Cash ending balance</t>
  </si>
  <si>
    <t>Cash average balance</t>
  </si>
  <si>
    <t>Exit calculations</t>
  </si>
  <si>
    <t>Potential Exit</t>
  </si>
  <si>
    <t>Less: Net Debt</t>
  </si>
  <si>
    <t>Returns Calculation</t>
  </si>
  <si>
    <t>Cash on Cash Returns</t>
  </si>
  <si>
    <t>Fx rates</t>
  </si>
  <si>
    <t>Spot</t>
  </si>
  <si>
    <t>1m Forward</t>
  </si>
  <si>
    <t>3m Forward</t>
  </si>
  <si>
    <t>USD / ECU</t>
  </si>
  <si>
    <t>Debt instruments valuation ordered by seniority</t>
  </si>
  <si>
    <t>Revolving debt facility</t>
  </si>
  <si>
    <t>Senior term debt</t>
  </si>
  <si>
    <t>Date</t>
  </si>
  <si>
    <t>Tranche A (ECU)</t>
  </si>
  <si>
    <t>Tranche A (USD)</t>
  </si>
  <si>
    <t>Tranche B (ECU)</t>
  </si>
  <si>
    <t>Tranche B (USD)</t>
  </si>
  <si>
    <t>USD</t>
  </si>
  <si>
    <t>ECU</t>
  </si>
  <si>
    <t>Total (A + B)</t>
  </si>
  <si>
    <t>Total revolving</t>
  </si>
  <si>
    <t>Senior debt schedule</t>
  </si>
  <si>
    <t>Senior Term Debt Balance</t>
  </si>
  <si>
    <t>Tranche A paydown</t>
  </si>
  <si>
    <t>Tranche B paydown</t>
  </si>
  <si>
    <t>Principal payment</t>
  </si>
  <si>
    <t>CF Senior</t>
  </si>
  <si>
    <t>Mezzanine financing</t>
  </si>
  <si>
    <t>Mezzanine schedule (in $m)</t>
  </si>
  <si>
    <t>Mezzanine paydown</t>
  </si>
  <si>
    <t>Yields on US Treasury Debt Securities</t>
  </si>
  <si>
    <t>1-month</t>
  </si>
  <si>
    <t>3-months</t>
  </si>
  <si>
    <t>6-months</t>
  </si>
  <si>
    <t>1-year</t>
  </si>
  <si>
    <t>2-years</t>
  </si>
  <si>
    <t>3-years</t>
  </si>
  <si>
    <t>4-years</t>
  </si>
  <si>
    <t>5-years</t>
  </si>
  <si>
    <t>6-years</t>
  </si>
  <si>
    <t>Interpolated</t>
  </si>
  <si>
    <t>7-years</t>
  </si>
  <si>
    <t>8-years</t>
  </si>
  <si>
    <t>9-years</t>
  </si>
  <si>
    <t>10-years</t>
  </si>
  <si>
    <t>30-years</t>
  </si>
  <si>
    <t>Principal beginning balance</t>
  </si>
  <si>
    <t>Paydown</t>
  </si>
  <si>
    <t>Principal ending balance</t>
  </si>
  <si>
    <t>IRR Vendor Note</t>
  </si>
  <si>
    <t>Debt items summary (seniority order)</t>
  </si>
  <si>
    <t>ECUm</t>
  </si>
  <si>
    <t>Interest (US Treasury +)</t>
  </si>
  <si>
    <t>Fee</t>
  </si>
  <si>
    <t>Maturity</t>
  </si>
  <si>
    <t>Repayment date</t>
  </si>
  <si>
    <t>Note</t>
  </si>
  <si>
    <t>10y</t>
  </si>
  <si>
    <t>Historical peer group</t>
  </si>
  <si>
    <t>Book Value</t>
  </si>
  <si>
    <t>Market Value</t>
  </si>
  <si>
    <t>Last Year</t>
  </si>
  <si>
    <t>Expected Dividend</t>
  </si>
  <si>
    <t>Year Growth Rate</t>
  </si>
  <si>
    <t>Beta</t>
  </si>
  <si>
    <t>Volatility</t>
  </si>
  <si>
    <t>D/E</t>
  </si>
  <si>
    <t>Operating P/E Margin</t>
  </si>
  <si>
    <t>Ratio</t>
  </si>
  <si>
    <t>Yield</t>
  </si>
  <si>
    <t>% of rev</t>
  </si>
  <si>
    <t>Divs.</t>
  </si>
  <si>
    <t>Beta unlevered</t>
  </si>
  <si>
    <t>Beta levered</t>
  </si>
  <si>
    <t>Axel Springer</t>
  </si>
  <si>
    <t>na</t>
  </si>
  <si>
    <t>Commerce</t>
  </si>
  <si>
    <t>D&amp;B</t>
  </si>
  <si>
    <t>Elsevier</t>
  </si>
  <si>
    <t>EMAP</t>
  </si>
  <si>
    <t>Euromoney publications</t>
  </si>
  <si>
    <t>Havas</t>
  </si>
  <si>
    <t>Houghton</t>
  </si>
  <si>
    <t>International Thomson Org</t>
  </si>
  <si>
    <t>McGraw</t>
  </si>
  <si>
    <t>Meredith</t>
  </si>
  <si>
    <t>Pearson</t>
  </si>
  <si>
    <t>Reed Intern</t>
  </si>
  <si>
    <t>Average</t>
  </si>
  <si>
    <t>Median</t>
  </si>
  <si>
    <t>Source: Case Exhibit</t>
  </si>
  <si>
    <t>2023 / 2024 Peer group</t>
  </si>
  <si>
    <t>Company</t>
  </si>
  <si>
    <t>Country ISO code</t>
  </si>
  <si>
    <t>Operating revenue (Turnover)
th USD Last avail. yr</t>
  </si>
  <si>
    <t>Credit Default Swaps (most recent) – Implied rating</t>
  </si>
  <si>
    <t>Credit Default Swaps (most recent) – Rating 5 years</t>
  </si>
  <si>
    <t>Total assets
th USD Last avail. yr</t>
  </si>
  <si>
    <t>EPS - P/E Ratio (Q)
First avail. Quarter</t>
  </si>
  <si>
    <t>EPS - P/E Ratio (Q)
2025 Quarter 1</t>
  </si>
  <si>
    <t>EPS - Low estimate (Q)
USD First avail. Quarter</t>
  </si>
  <si>
    <t>EPS - Low estimate (Q)
USD 2024 Quarter 4</t>
  </si>
  <si>
    <t>RELX PLC</t>
  </si>
  <si>
    <t>GB</t>
  </si>
  <si>
    <t>AA</t>
  </si>
  <si>
    <t>n.a.</t>
  </si>
  <si>
    <t>LAGARDERE SA</t>
  </si>
  <si>
    <t>FR</t>
  </si>
  <si>
    <t>BBB</t>
  </si>
  <si>
    <t>A</t>
  </si>
  <si>
    <t>PEARSON PLC</t>
  </si>
  <si>
    <t>INFORMA PLC</t>
  </si>
  <si>
    <t>CIR S.P.A.</t>
  </si>
  <si>
    <t>IT</t>
  </si>
  <si>
    <t>SANOMA OYJ</t>
  </si>
  <si>
    <t>FI</t>
  </si>
  <si>
    <t>SCHIBSTED ASA</t>
  </si>
  <si>
    <t>NO</t>
  </si>
  <si>
    <t>ELANDERS AB</t>
  </si>
  <si>
    <t>SE</t>
  </si>
  <si>
    <t>AEVIS VICTORIA SA</t>
  </si>
  <si>
    <t>CH</t>
  </si>
  <si>
    <t>ELASTIC N.V.</t>
  </si>
  <si>
    <t>NL</t>
  </si>
  <si>
    <t>ENDAVA PLC</t>
  </si>
  <si>
    <t>TX GROUP AG</t>
  </si>
  <si>
    <t>ARNOLDO MONDADORI EDITORE SPA</t>
  </si>
  <si>
    <t>FUTURE PLC</t>
  </si>
  <si>
    <t>RCS MEDIAGROUP SPA</t>
  </si>
  <si>
    <t>PROMOTORA DE INFORMACIONES S.A.</t>
  </si>
  <si>
    <t>ES</t>
  </si>
  <si>
    <t>REACH PLC</t>
  </si>
  <si>
    <t>STILLFRONT GROUP AB</t>
  </si>
  <si>
    <t>CARD FACTORY PLC</t>
  </si>
  <si>
    <t>REWORLD MEDIA</t>
  </si>
  <si>
    <t>SOLOCAL GROUP</t>
  </si>
  <si>
    <t>ROULARTA MEDIA GROUP NV</t>
  </si>
  <si>
    <t>BE</t>
  </si>
  <si>
    <t>VOCENTO S.A.</t>
  </si>
  <si>
    <t>ALMA MEDIA OYJ</t>
  </si>
  <si>
    <t>BLOOMSBURY PUBLISHING PLC</t>
  </si>
  <si>
    <t>GYLDENDAL ASA</t>
  </si>
  <si>
    <t>AGORA SA</t>
  </si>
  <si>
    <t>PL</t>
  </si>
  <si>
    <t>MATERIALISE NV</t>
  </si>
  <si>
    <t>KESKISUOMALAINEN OYJ</t>
  </si>
  <si>
    <t>KIN AND CARTA PLC</t>
  </si>
  <si>
    <t>IL SOLE 24 ORE SPA</t>
  </si>
  <si>
    <t>BOKUSGRUPPEN AB</t>
  </si>
  <si>
    <t>MONRIF SPA</t>
  </si>
  <si>
    <t>TOTALLY PLC</t>
  </si>
  <si>
    <t>NEOGAMES S.A.</t>
  </si>
  <si>
    <t>LU</t>
  </si>
  <si>
    <t>PUNAMUSTA MEDIA OYJ</t>
  </si>
  <si>
    <t>CLASS EDITORI SPA</t>
  </si>
  <si>
    <t>NORTH MEDIA A/S</t>
  </si>
  <si>
    <t>DK</t>
  </si>
  <si>
    <t>GYLDENDAL A/S</t>
  </si>
  <si>
    <t>CALTAGIRONE EDITORE S.P.A.</t>
  </si>
  <si>
    <t>NHST MEDIA GROUP AS</t>
  </si>
  <si>
    <t>BASTEI LUEBBE AG</t>
  </si>
  <si>
    <t>DE</t>
  </si>
  <si>
    <t>NATIONAL WORLD PLC</t>
  </si>
  <si>
    <t>LBG MEDIA PLC</t>
  </si>
  <si>
    <t>ILKKA OYJ</t>
  </si>
  <si>
    <t>-</t>
  </si>
  <si>
    <t>READLY INTERNATIONAL AB</t>
  </si>
  <si>
    <t>MENTOR MEDIER AS</t>
  </si>
  <si>
    <t>KONINKLIJKE BRILL NV</t>
  </si>
  <si>
    <t>CENTAUR MEDIA PLC</t>
  </si>
  <si>
    <t>VIKING KAGIT VE SELULOZ A.S.</t>
  </si>
  <si>
    <t>TR</t>
  </si>
  <si>
    <t>MERIT GROUP PLC</t>
  </si>
  <si>
    <t>HURRIYET GAZETECILIK VE MATBAACILIK A.S.</t>
  </si>
  <si>
    <t>IMPRIMERIE CHIRAT</t>
  </si>
  <si>
    <t>GREMI MEDIA S.A.</t>
  </si>
  <si>
    <t>ATTICA PUBLICATIONS S.A.</t>
  </si>
  <si>
    <t>GR</t>
  </si>
  <si>
    <t>POLSKIE TOWARZYSTWO WSPIERANIA PRZEDSIEBIORCZOSCI S.A</t>
  </si>
  <si>
    <t>XAIDEMENOS S.A.</t>
  </si>
  <si>
    <t>GAMBERO ROSSO S.P.A.</t>
  </si>
  <si>
    <t>SIMONE S.P.A.</t>
  </si>
  <si>
    <t>GRAFENIA PLC</t>
  </si>
  <si>
    <t>SCHWABENVERLAG AG</t>
  </si>
  <si>
    <t>ENTREPRENDRE</t>
  </si>
  <si>
    <t>DOGAN BURDA DERGI YAYINCILIK VE PAZARLAMA A.S.</t>
  </si>
  <si>
    <t>TMP GROUP S.P.A.</t>
  </si>
  <si>
    <t>POLITIKA A.D.</t>
  </si>
  <si>
    <t>RS</t>
  </si>
  <si>
    <t>VJESNIK D.D.</t>
  </si>
  <si>
    <t>HR</t>
  </si>
  <si>
    <t>EDITIONS DU SIGNE</t>
  </si>
  <si>
    <t>EROLD SA</t>
  </si>
  <si>
    <t>POBJEDA A.D.</t>
  </si>
  <si>
    <t>ME</t>
  </si>
  <si>
    <t>PROSVETNO DELO AD</t>
  </si>
  <si>
    <t>MK</t>
  </si>
  <si>
    <t>RENALYTIX PLC</t>
  </si>
  <si>
    <t>E-KIOSK SA</t>
  </si>
  <si>
    <t>PRIZMA PRES MATBAACILIK YAYINCILIK SANAYI VE TICARET A.S.</t>
  </si>
  <si>
    <t>JUSSYSTEMER AS</t>
  </si>
  <si>
    <t>GOINGPUBLIC MEDIA AG</t>
  </si>
  <si>
    <t>GLAS SRPSKE A.D.</t>
  </si>
  <si>
    <t>BA</t>
  </si>
  <si>
    <t>SARAJEVO PUBLISHING D.D.</t>
  </si>
  <si>
    <t>DGB GROUP N.V.</t>
  </si>
  <si>
    <t>NEWSPAPER METRO JOINT STOCK COMPANY</t>
  </si>
  <si>
    <t>RU</t>
  </si>
  <si>
    <t>NEWS55 AB</t>
  </si>
  <si>
    <t>HOI PUBLISHING AB</t>
  </si>
  <si>
    <t>ASKER OG B'RUMS BUDSTIKKE AS</t>
  </si>
  <si>
    <t>FREEMIND S.A.</t>
  </si>
  <si>
    <t>GIK OKO D.D. SARAJEVO-ILIDZA</t>
  </si>
  <si>
    <t>NIP ZRENJANIN A.D.</t>
  </si>
  <si>
    <t>CONSOLEWAY S.A.</t>
  </si>
  <si>
    <t>PLAYSAFE HOLDING AS</t>
  </si>
  <si>
    <t>SPACE FOX GAMES S.A.</t>
  </si>
  <si>
    <t>NIP SOMBORSKE NOVINE AD SOMBOR</t>
  </si>
  <si>
    <t>PLOT TWIST S.A.</t>
  </si>
  <si>
    <t>NICOLAS MIGUET &amp; ASSOCIES</t>
  </si>
  <si>
    <t>KULTURA SKOPJE AD</t>
  </si>
  <si>
    <t>RAD A.D. , BEOGRAD</t>
  </si>
  <si>
    <t>DEMOLISH GAMES S.A.</t>
  </si>
  <si>
    <t>VRFABRIC S.A.</t>
  </si>
  <si>
    <t>GRAFAM D.D.</t>
  </si>
  <si>
    <t>NEDELJNE NOVINE A.D. BACKA PALANKA</t>
  </si>
  <si>
    <t>PROSVETA A.D. BEOGRAD</t>
  </si>
  <si>
    <t>BIGZ PUBLISHING A.D</t>
  </si>
  <si>
    <t>GLAS SRPSKI - GRAFIKA A.D</t>
  </si>
  <si>
    <t>NOLIT AD BEOGRAD</t>
  </si>
  <si>
    <t>TIMOK A.D</t>
  </si>
  <si>
    <t>EUROINVESTMENT SA</t>
  </si>
  <si>
    <t>CHOICE</t>
  </si>
  <si>
    <t>Source: Orbis Database</t>
  </si>
  <si>
    <t>Range for strategic fit</t>
  </si>
  <si>
    <t>Company Name</t>
  </si>
  <si>
    <t>Net Margin - %, Industry Median
(FY0)</t>
  </si>
  <si>
    <t>Operating Leverage, Industry Median
(FY0)</t>
  </si>
  <si>
    <t>EBITDA - Mean
(FY1, usd)</t>
  </si>
  <si>
    <t>EBIT - Mean
(FY1, usd)</t>
  </si>
  <si>
    <t>Enterprise Value - Mean
(FY1, usd)</t>
  </si>
  <si>
    <t>EV/EBITDA</t>
  </si>
  <si>
    <t>EV/EBIT</t>
  </si>
  <si>
    <t>Net Debt - Mean
(FY1, usd)</t>
  </si>
  <si>
    <t>Sector</t>
  </si>
  <si>
    <t>GICS Sub-Industry Name</t>
  </si>
  <si>
    <t>GICS Sector Name</t>
  </si>
  <si>
    <t>GICS Industry Name</t>
  </si>
  <si>
    <t>Strategic fit</t>
  </si>
  <si>
    <t>Research &amp; Consulting Services</t>
  </si>
  <si>
    <t>Industrials</t>
  </si>
  <si>
    <t>Professional Services</t>
  </si>
  <si>
    <t>Is in the healthcare industry 
is bigger than medimedia. 
Press realises and journals</t>
  </si>
  <si>
    <t>Wolters Kluwer NV</t>
  </si>
  <si>
    <t>Health industry among others
Not exactly a publishing company
Software solutions</t>
  </si>
  <si>
    <t>Informa PLC</t>
  </si>
  <si>
    <t>Advertising</t>
  </si>
  <si>
    <t>Communication Services</t>
  </si>
  <si>
    <t>Media</t>
  </si>
  <si>
    <t>Academic market, B2B market. 
Products made to connect people
more of a communication company</t>
  </si>
  <si>
    <t>Pearson PLC</t>
  </si>
  <si>
    <t>Education Services</t>
  </si>
  <si>
    <t>Consumer Discretionary</t>
  </si>
  <si>
    <t>Diversified Consumer Services</t>
  </si>
  <si>
    <t>communication</t>
  </si>
  <si>
    <t>Universal Music Group NV</t>
  </si>
  <si>
    <t>Movies &amp; Entertainment</t>
  </si>
  <si>
    <t>Entertainment</t>
  </si>
  <si>
    <t>Music communication</t>
  </si>
  <si>
    <t>Publicis Groupe SA</t>
  </si>
  <si>
    <t>PreStl</t>
  </si>
  <si>
    <t>health industry. Same model and products</t>
  </si>
  <si>
    <t>WPP PLC</t>
  </si>
  <si>
    <t>communication and advertisemnt</t>
  </si>
  <si>
    <t>Vivendi SE</t>
  </si>
  <si>
    <t>Broadcasting</t>
  </si>
  <si>
    <t>communication and media</t>
  </si>
  <si>
    <t>Elanders AB</t>
  </si>
  <si>
    <t>AvgEOD</t>
  </si>
  <si>
    <t>Air Freight &amp; Logistics</t>
  </si>
  <si>
    <t>supply chain, and print solutions</t>
  </si>
  <si>
    <t>Sanoma Oyj</t>
  </si>
  <si>
    <t>Publishing</t>
  </si>
  <si>
    <t>media and digtal learning</t>
  </si>
  <si>
    <t>CIR SpA - Compagnie Industriali Riunite</t>
  </si>
  <si>
    <t>Automotive Parts &amp; Equipment</t>
  </si>
  <si>
    <t>Automobile Components</t>
  </si>
  <si>
    <t>healthcare</t>
  </si>
  <si>
    <t>Endava PLC</t>
  </si>
  <si>
    <t/>
  </si>
  <si>
    <t>IT Consulting &amp; Other Services</t>
  </si>
  <si>
    <t>Information Technology</t>
  </si>
  <si>
    <t>IT Services</t>
  </si>
  <si>
    <t>software developer</t>
  </si>
  <si>
    <t>Arnoldo Mondadori Editore SpA</t>
  </si>
  <si>
    <t>publishers of books</t>
  </si>
  <si>
    <t>TX Group AG</t>
  </si>
  <si>
    <t>OffVol</t>
  </si>
  <si>
    <t>media, publishers</t>
  </si>
  <si>
    <t>Rizzoli Corriere della Sera Mediagroup SpA</t>
  </si>
  <si>
    <t>media, newspapaers, radio, books</t>
  </si>
  <si>
    <t>Mean</t>
  </si>
  <si>
    <t>Source: Refinitiv Database</t>
  </si>
  <si>
    <t>Relative valuation</t>
  </si>
  <si>
    <t>EV/EBITDA-  multiple peers</t>
  </si>
  <si>
    <t>EBITDA 1994-MediMedia</t>
  </si>
  <si>
    <t>EV MediMedia-EBITDA</t>
  </si>
  <si>
    <t xml:space="preserve">EV/EBIT- multiple peers </t>
  </si>
  <si>
    <t>EBIT 1994- MediMedia</t>
  </si>
  <si>
    <t>EV MediMedia-EBIT</t>
  </si>
  <si>
    <t>Option pricing</t>
  </si>
  <si>
    <t>Option pricing without circularity issue incl. valuation values</t>
  </si>
  <si>
    <t>Adjusted call price</t>
  </si>
  <si>
    <t>Black-Scholes Model inputs</t>
  </si>
  <si>
    <t>Diluted share price calculation</t>
  </si>
  <si>
    <t>Stock price</t>
  </si>
  <si>
    <t>Strike price</t>
  </si>
  <si>
    <t xml:space="preserve">Strike price </t>
  </si>
  <si>
    <t>Shares outstanding</t>
  </si>
  <si>
    <t>in m</t>
  </si>
  <si>
    <t xml:space="preserve">Volatility </t>
  </si>
  <si>
    <t>Risk-free interest rate (discrete time)</t>
  </si>
  <si>
    <t>Shares from warrants</t>
  </si>
  <si>
    <t>Risk-free interest rate (continuous time)</t>
  </si>
  <si>
    <t xml:space="preserve">Time to maturity </t>
  </si>
  <si>
    <t>Equity value</t>
  </si>
  <si>
    <t>d1</t>
  </si>
  <si>
    <t>Equity value from APV</t>
  </si>
  <si>
    <t>d2</t>
  </si>
  <si>
    <t>N(d1)</t>
  </si>
  <si>
    <t xml:space="preserve">Share price </t>
  </si>
  <si>
    <t>N(d2)</t>
  </si>
  <si>
    <t xml:space="preserve">Call value </t>
  </si>
  <si>
    <t>15% dilution</t>
  </si>
  <si>
    <t>Adjusted call</t>
  </si>
  <si>
    <t>Shares</t>
  </si>
  <si>
    <t>Value</t>
  </si>
  <si>
    <t xml:space="preserve">Put value </t>
  </si>
  <si>
    <t>Warrant price</t>
  </si>
  <si>
    <t>Equity value incl. Warrants</t>
  </si>
  <si>
    <t>Warrant value</t>
  </si>
  <si>
    <t>Warrants price</t>
  </si>
  <si>
    <t>Proceeds from warrants</t>
  </si>
  <si>
    <t>Fully diluted Equity value</t>
  </si>
  <si>
    <t>Ebit Growth Rate:</t>
  </si>
  <si>
    <t>Exhibit 7</t>
  </si>
  <si>
    <t>Medimedia International, Ltd.</t>
  </si>
  <si>
    <t>Forecasted Profits and Cash Flows (1991-98)</t>
  </si>
  <si>
    <t>(in millions of US dollars)</t>
  </si>
  <si>
    <t>--------Historical---------</t>
  </si>
  <si>
    <t>|-----------------Projected, Fiscal Years Ending 30 November-----------</t>
  </si>
  <si>
    <t>+ Depreciation</t>
  </si>
  <si>
    <t>+ Incrs. Deferred Taxes</t>
  </si>
  <si>
    <t>- Capital Expenditures</t>
  </si>
  <si>
    <t>+ Decrs. in Accts. Recvbl.</t>
  </si>
  <si>
    <t>+ Decrs. in Inventories</t>
  </si>
  <si>
    <t>+ Decrs. in Prepaid Expenses</t>
  </si>
  <si>
    <t>+ Incrs. in Accts. Payable</t>
  </si>
  <si>
    <t>+ Incrs. in Taxes Payable</t>
  </si>
  <si>
    <t>+ Incrs. in Accrued Liabs.</t>
  </si>
  <si>
    <t>+ Interest Not Paid in Cash</t>
  </si>
  <si>
    <t>Cash Avail. for Debt Repay.</t>
  </si>
  <si>
    <t>Scheduled Debt Repayments</t>
  </si>
  <si>
    <t>Residual Cash Flow</t>
  </si>
  <si>
    <t>(Addition to Cash Balance)</t>
  </si>
  <si>
    <t>Source: MediMedia offering memorandum.</t>
  </si>
  <si>
    <t>Exhibit 8</t>
  </si>
  <si>
    <t>Historical and Forecasted Net Assets and Capital Structure (1991-98)</t>
  </si>
  <si>
    <t>Pre-</t>
  </si>
  <si>
    <t>Closing</t>
  </si>
  <si>
    <t>Nov.</t>
  </si>
  <si>
    <t>Nov. 1990</t>
  </si>
  <si>
    <t>Changes</t>
  </si>
  <si>
    <t>Net Assets:</t>
  </si>
  <si>
    <t>Capital Structure:</t>
  </si>
  <si>
    <t>Exhibit 9</t>
  </si>
  <si>
    <t>Forecast of Free Cash Flows and Tax Savings from Debt</t>
  </si>
  <si>
    <t>Free Cash Flow Forecast</t>
  </si>
  <si>
    <t>Source: Author analysis, drawing on MediMedia offering memorandum.</t>
  </si>
  <si>
    <t>Exhibit 10</t>
  </si>
  <si>
    <t>Senior­term loan installments</t>
  </si>
  <si>
    <t>30.09.91</t>
  </si>
  <si>
    <t>30.09.92</t>
  </si>
  <si>
    <t>30.09.93</t>
  </si>
  <si>
    <t>30.09.94</t>
  </si>
  <si>
    <t>30.09.95</t>
  </si>
  <si>
    <t>30.09.96</t>
  </si>
  <si>
    <t>30.09.97</t>
  </si>
  <si>
    <t>Total</t>
  </si>
  <si>
    <t>Debt items details - MediMedia</t>
  </si>
  <si>
    <t>LIBOR rate</t>
  </si>
  <si>
    <t>Interest (LIBOR+)</t>
  </si>
  <si>
    <t>Credit Facility</t>
  </si>
  <si>
    <t>Prepayment not allowed until repayment of senior debt</t>
  </si>
  <si>
    <t>Tranche A</t>
  </si>
  <si>
    <t>Tranche B</t>
  </si>
  <si>
    <t>Vendor note interest</t>
  </si>
  <si>
    <t>Year</t>
  </si>
  <si>
    <t>BM</t>
  </si>
  <si>
    <t>Payment</t>
  </si>
  <si>
    <t>Average yield of 9 and 10y gov bond</t>
  </si>
  <si>
    <t>Interpolated yield on the 2 US TB whose final maturities are, at the subordinated note's interest reset date, nearest to the final maturity of the subordinated vendor notes</t>
  </si>
  <si>
    <t>Cash / Yearly</t>
  </si>
  <si>
    <t>Interest that cannot be paid will be satisfied by another issue of notes carrying same terms</t>
  </si>
  <si>
    <t>Sources &amp; Uses</t>
  </si>
  <si>
    <t>USD Millions</t>
  </si>
  <si>
    <t>Tranche A (in ECU)</t>
  </si>
  <si>
    <t>Tranche B (in US$)</t>
  </si>
  <si>
    <t>Tranche A %</t>
  </si>
  <si>
    <t>Tranche B %</t>
  </si>
  <si>
    <t>Revolving loan facility</t>
  </si>
  <si>
    <t>Total Amount</t>
  </si>
  <si>
    <t>The balance</t>
  </si>
  <si>
    <t>EBIT/Total interest expense</t>
  </si>
  <si>
    <t>Minimum 2×</t>
  </si>
  <si>
    <t>EBIT/Senior-debt interest expense</t>
  </si>
  <si>
    <t>Minimum 3×</t>
  </si>
  <si>
    <t>Cash generated for financing/Total interest expense</t>
  </si>
  <si>
    <t>Minimum 1.2×</t>
  </si>
  <si>
    <t>Fees</t>
  </si>
  <si>
    <t>LIBOR + 2.25%</t>
  </si>
  <si>
    <t>Commitment fee of unused revolving loan facility (p.a.)</t>
  </si>
  <si>
    <t>LIBOR + 3.25%</t>
  </si>
  <si>
    <t>10Y maturity</t>
  </si>
  <si>
    <t>P&amp;L historical</t>
  </si>
  <si>
    <t>P&amp;L</t>
  </si>
  <si>
    <t>1987</t>
  </si>
  <si>
    <t>only)</t>
  </si>
  <si>
    <t>1989</t>
  </si>
  <si>
    <t>1990</t>
  </si>
  <si>
    <t>Revenue by geo</t>
  </si>
  <si>
    <t>Europe</t>
  </si>
  <si>
    <t>United States</t>
  </si>
  <si>
    <t>Asia/Oceania</t>
  </si>
  <si>
    <t>Other</t>
  </si>
  <si>
    <t>Interco</t>
  </si>
  <si>
    <t>Page 20</t>
  </si>
  <si>
    <t>Exhibit 11</t>
  </si>
  <si>
    <t>MediMedia International, Ltd.</t>
  </si>
  <si>
    <t>Current Debt Capital Market Conditions as of Late February 1991</t>
  </si>
  <si>
    <t>Yields on 10-Year Debt of Other Governments</t>
  </si>
  <si>
    <t>Japan</t>
  </si>
  <si>
    <t>United Kingdom</t>
  </si>
  <si>
    <t>Germany</t>
  </si>
  <si>
    <t>France</t>
  </si>
  <si>
    <t>Netherlands</t>
  </si>
  <si>
    <t>EU</t>
  </si>
  <si>
    <t>Yields on High-Grade US Corporate Bonds</t>
  </si>
  <si>
    <t>1–3 years</t>
  </si>
  <si>
    <t>5–10 years</t>
  </si>
  <si>
    <t>15+ years</t>
  </si>
  <si>
    <t>Bank Lending Rates</t>
  </si>
  <si>
    <t>US prime rate</t>
  </si>
  <si>
    <t>UK base lending rate</t>
  </si>
  <si>
    <t>LIBOR (USD)</t>
  </si>
  <si>
    <t>Source: Financial Times, 26 February 1991; and OECD Financial Indicators (March 1991, June 1990).</t>
  </si>
  <si>
    <t>date</t>
  </si>
  <si>
    <t>1M LIBOR Rate</t>
  </si>
  <si>
    <t>1y average 1M Libor rates</t>
  </si>
  <si>
    <t>1y average 1y Libor rates</t>
  </si>
  <si>
    <t>Source: Macrotrends</t>
  </si>
  <si>
    <t>https://www.macrotrends.net/1433/historical-libor-rates-chart</t>
  </si>
  <si>
    <t>Data Source</t>
  </si>
  <si>
    <t>World Development Indicators</t>
  </si>
  <si>
    <t>Last Updated Date</t>
  </si>
  <si>
    <t>Country Name</t>
  </si>
  <si>
    <t>Country Code</t>
  </si>
  <si>
    <t>Indicator Name</t>
  </si>
  <si>
    <t>Indicator Code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</si>
  <si>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</si>
  <si>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</si>
  <si>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</si>
  <si>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</si>
  <si>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</si>
  <si>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</si>
  <si>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</si>
  <si>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</si>
  <si>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</si>
  <si>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</si>
  <si>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</si>
  <si>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</si>
  <si>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</si>
  <si>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</si>
  <si>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</si>
  <si>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</si>
  <si>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</si>
  <si>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</si>
  <si>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</si>
  <si>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</si>
  <si>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</si>
  <si>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</si>
  <si>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</si>
  <si>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</si>
  <si>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</si>
  <si>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</si>
  <si>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</si>
  <si>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1988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</si>
  <si>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</si>
  <si>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</si>
  <si>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</si>
  <si>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</si>
  <si>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</si>
  <si>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</si>
  <si>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</si>
  <si>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</si>
  <si>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</si>
  <si>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</si>
  <si>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</si>
  <si>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</si>
  <si>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</si>
  <si>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</si>
  <si>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</si>
  <si>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</si>
  <si>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</si>
  <si>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</si>
  <si>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</si>
  <si>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</si>
  <si>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</si>
  <si>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</si>
  <si>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</si>
  <si>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</si>
  <si>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</si>
  <si>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</si>
  <si>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</si>
  <si>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</si>
  <si>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</si>
  <si>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</si>
  <si>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</si>
  <si>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</si>
  <si>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Aruba</t>
  </si>
  <si>
    <t>ABW</t>
  </si>
  <si>
    <t>GDP growth (annual %)</t>
  </si>
  <si>
    <t>NY.GDP.MKTP.KD.ZG</t>
  </si>
  <si>
    <t>Africa Eastern and Southern</t>
  </si>
  <si>
    <t>AFE</t>
  </si>
  <si>
    <t>Afghanistan</t>
  </si>
  <si>
    <t>AFG</t>
  </si>
  <si>
    <t>Africa Western and Central</t>
  </si>
  <si>
    <t>AFW</t>
  </si>
  <si>
    <t>Angola</t>
  </si>
  <si>
    <t>AGO</t>
  </si>
  <si>
    <t>Albania</t>
  </si>
  <si>
    <t>ALB</t>
  </si>
  <si>
    <t>Andorra</t>
  </si>
  <si>
    <t>AND</t>
  </si>
  <si>
    <t>Arab World</t>
  </si>
  <si>
    <t>ARB</t>
  </si>
  <si>
    <t>United Arab Emirates</t>
  </si>
  <si>
    <t>ARE</t>
  </si>
  <si>
    <t>Argentina</t>
  </si>
  <si>
    <t>ARG</t>
  </si>
  <si>
    <t>Armenia</t>
  </si>
  <si>
    <t>ARM</t>
  </si>
  <si>
    <t>American Samoa</t>
  </si>
  <si>
    <t>ASM</t>
  </si>
  <si>
    <t>Antigua and Barbuda</t>
  </si>
  <si>
    <t>ATG</t>
  </si>
  <si>
    <t>Australia</t>
  </si>
  <si>
    <t>AUS</t>
  </si>
  <si>
    <t>Austria</t>
  </si>
  <si>
    <t>AUT</t>
  </si>
  <si>
    <t>Azerbaijan</t>
  </si>
  <si>
    <t>AZE</t>
  </si>
  <si>
    <t>Burundi</t>
  </si>
  <si>
    <t>BDI</t>
  </si>
  <si>
    <t>Belgium</t>
  </si>
  <si>
    <t>BEL</t>
  </si>
  <si>
    <t>Benin</t>
  </si>
  <si>
    <t>BEN</t>
  </si>
  <si>
    <t>Burkina Faso</t>
  </si>
  <si>
    <t>BFA</t>
  </si>
  <si>
    <t>Bangladesh</t>
  </si>
  <si>
    <t>BGD</t>
  </si>
  <si>
    <t>Bulgaria</t>
  </si>
  <si>
    <t>BGR</t>
  </si>
  <si>
    <t>Bahrain</t>
  </si>
  <si>
    <t>BHR</t>
  </si>
  <si>
    <t>Bahamas, The</t>
  </si>
  <si>
    <t>BHS</t>
  </si>
  <si>
    <t>Bosnia and Herzegovina</t>
  </si>
  <si>
    <t>BIH</t>
  </si>
  <si>
    <t>Belarus</t>
  </si>
  <si>
    <t>BLR</t>
  </si>
  <si>
    <t>Belize</t>
  </si>
  <si>
    <t>BLZ</t>
  </si>
  <si>
    <t>Bermuda</t>
  </si>
  <si>
    <t>BMU</t>
  </si>
  <si>
    <t>Bolivia</t>
  </si>
  <si>
    <t>BOL</t>
  </si>
  <si>
    <t>Brazil</t>
  </si>
  <si>
    <t>BRA</t>
  </si>
  <si>
    <t>Barbados</t>
  </si>
  <si>
    <t>BRB</t>
  </si>
  <si>
    <t>Brunei Darussalam</t>
  </si>
  <si>
    <t>BRN</t>
  </si>
  <si>
    <t>Bhutan</t>
  </si>
  <si>
    <t>BTN</t>
  </si>
  <si>
    <t>Botswana</t>
  </si>
  <si>
    <t>BWA</t>
  </si>
  <si>
    <t>Central African Republic</t>
  </si>
  <si>
    <t>CAF</t>
  </si>
  <si>
    <t>Canada</t>
  </si>
  <si>
    <t>CAN</t>
  </si>
  <si>
    <t>Central Europe and the Baltics</t>
  </si>
  <si>
    <t>CEB</t>
  </si>
  <si>
    <t>Switzerland</t>
  </si>
  <si>
    <t>CHE</t>
  </si>
  <si>
    <t>Channel Islands</t>
  </si>
  <si>
    <t>CHI</t>
  </si>
  <si>
    <t>Chile</t>
  </si>
  <si>
    <t>CHL</t>
  </si>
  <si>
    <t>China</t>
  </si>
  <si>
    <t>CHN</t>
  </si>
  <si>
    <t>Cote d'Ivoire</t>
  </si>
  <si>
    <t>CIV</t>
  </si>
  <si>
    <t>Cameroon</t>
  </si>
  <si>
    <t>CMR</t>
  </si>
  <si>
    <t>Congo, Dem. Rep.</t>
  </si>
  <si>
    <t>COD</t>
  </si>
  <si>
    <t>Congo, Rep.</t>
  </si>
  <si>
    <t>COG</t>
  </si>
  <si>
    <t>Colombia</t>
  </si>
  <si>
    <t>COL</t>
  </si>
  <si>
    <t>Comoros</t>
  </si>
  <si>
    <t>COM</t>
  </si>
  <si>
    <t>Cabo Verde</t>
  </si>
  <si>
    <t>CPV</t>
  </si>
  <si>
    <t>Costa Rica</t>
  </si>
  <si>
    <t>CRI</t>
  </si>
  <si>
    <t>Caribbean small states</t>
  </si>
  <si>
    <t>CSS</t>
  </si>
  <si>
    <t>Cuba</t>
  </si>
  <si>
    <t>CUB</t>
  </si>
  <si>
    <t>Curacao</t>
  </si>
  <si>
    <t>CUW</t>
  </si>
  <si>
    <t>Cayman Islands</t>
  </si>
  <si>
    <t>CYM</t>
  </si>
  <si>
    <t>Cyprus</t>
  </si>
  <si>
    <t>CYP</t>
  </si>
  <si>
    <t>Czechia</t>
  </si>
  <si>
    <t>CZE</t>
  </si>
  <si>
    <t>DEU</t>
  </si>
  <si>
    <t>Djibouti</t>
  </si>
  <si>
    <t>DJI</t>
  </si>
  <si>
    <t>Dominica</t>
  </si>
  <si>
    <t>DMA</t>
  </si>
  <si>
    <t>Denmark</t>
  </si>
  <si>
    <t>DNK</t>
  </si>
  <si>
    <t>Dominican Republic</t>
  </si>
  <si>
    <t>DOM</t>
  </si>
  <si>
    <t>Algeria</t>
  </si>
  <si>
    <t>DZA</t>
  </si>
  <si>
    <t>East Asia &amp; Pacific (excluding high income)</t>
  </si>
  <si>
    <t>EAP</t>
  </si>
  <si>
    <t>Early-demographic dividend</t>
  </si>
  <si>
    <t>EAR</t>
  </si>
  <si>
    <t>East Asia &amp; Pacific</t>
  </si>
  <si>
    <t>EAS</t>
  </si>
  <si>
    <t>Europe &amp; Central Asia (excluding high income)</t>
  </si>
  <si>
    <t>ECA</t>
  </si>
  <si>
    <t>Europe &amp; Central Asia</t>
  </si>
  <si>
    <t>ECS</t>
  </si>
  <si>
    <t>Ecuador</t>
  </si>
  <si>
    <t>Egypt, Arab Rep.</t>
  </si>
  <si>
    <t>EGY</t>
  </si>
  <si>
    <t>Euro area</t>
  </si>
  <si>
    <t>EMU</t>
  </si>
  <si>
    <t>Eritrea</t>
  </si>
  <si>
    <t>ERI</t>
  </si>
  <si>
    <t>Spain</t>
  </si>
  <si>
    <t>ESP</t>
  </si>
  <si>
    <t>Estonia</t>
  </si>
  <si>
    <t>EST</t>
  </si>
  <si>
    <t>Ethiopia</t>
  </si>
  <si>
    <t>ETH</t>
  </si>
  <si>
    <t>European Union</t>
  </si>
  <si>
    <t>EUU</t>
  </si>
  <si>
    <t>Fragile and conflict affected situations</t>
  </si>
  <si>
    <t>FCS</t>
  </si>
  <si>
    <t>Finland</t>
  </si>
  <si>
    <t>FIN</t>
  </si>
  <si>
    <t>Fiji</t>
  </si>
  <si>
    <t>FJI</t>
  </si>
  <si>
    <t>FRA</t>
  </si>
  <si>
    <t>Faroe Islands</t>
  </si>
  <si>
    <t>FRO</t>
  </si>
  <si>
    <t>Micronesia, Fed. Sts.</t>
  </si>
  <si>
    <t>FSM</t>
  </si>
  <si>
    <t>Gabon</t>
  </si>
  <si>
    <t>GAB</t>
  </si>
  <si>
    <t>GBR</t>
  </si>
  <si>
    <t>Georgia</t>
  </si>
  <si>
    <t>GEO</t>
  </si>
  <si>
    <t>Ghana</t>
  </si>
  <si>
    <t>GHA</t>
  </si>
  <si>
    <t>Gibraltar</t>
  </si>
  <si>
    <t>GIB</t>
  </si>
  <si>
    <t>Guinea</t>
  </si>
  <si>
    <t>GIN</t>
  </si>
  <si>
    <t>Gambia, The</t>
  </si>
  <si>
    <t>GMB</t>
  </si>
  <si>
    <t>Guinea-Bissau</t>
  </si>
  <si>
    <t>GNB</t>
  </si>
  <si>
    <t>Equatorial Guinea</t>
  </si>
  <si>
    <t>GNQ</t>
  </si>
  <si>
    <t>Greece</t>
  </si>
  <si>
    <t>GRC</t>
  </si>
  <si>
    <t>Grenada</t>
  </si>
  <si>
    <t>GRD</t>
  </si>
  <si>
    <t>Greenland</t>
  </si>
  <si>
    <t>GRL</t>
  </si>
  <si>
    <t>Guatemala</t>
  </si>
  <si>
    <t>GTM</t>
  </si>
  <si>
    <t>Guam</t>
  </si>
  <si>
    <t>GUM</t>
  </si>
  <si>
    <t>Guyana</t>
  </si>
  <si>
    <t>GUY</t>
  </si>
  <si>
    <t>High income</t>
  </si>
  <si>
    <t>HIC</t>
  </si>
  <si>
    <t>Hong Kong SAR, China</t>
  </si>
  <si>
    <t>HKG</t>
  </si>
  <si>
    <t>Honduras</t>
  </si>
  <si>
    <t>HND</t>
  </si>
  <si>
    <t>Heavily indebted poor countries (HIPC)</t>
  </si>
  <si>
    <t>HPC</t>
  </si>
  <si>
    <t>Croatia</t>
  </si>
  <si>
    <t>HRV</t>
  </si>
  <si>
    <t>Haiti</t>
  </si>
  <si>
    <t>HTI</t>
  </si>
  <si>
    <t>Hungary</t>
  </si>
  <si>
    <t>HUN</t>
  </si>
  <si>
    <t>IBRD only</t>
  </si>
  <si>
    <t>IBD</t>
  </si>
  <si>
    <t>IDA &amp; IBRD total</t>
  </si>
  <si>
    <t>IBT</t>
  </si>
  <si>
    <t>IDA total</t>
  </si>
  <si>
    <t>IDA</t>
  </si>
  <si>
    <t>IDA blend</t>
  </si>
  <si>
    <t>IDB</t>
  </si>
  <si>
    <t>Indonesia</t>
  </si>
  <si>
    <t>IDN</t>
  </si>
  <si>
    <t>IDA only</t>
  </si>
  <si>
    <t>IDX</t>
  </si>
  <si>
    <t>Isle of Man</t>
  </si>
  <si>
    <t>IMN</t>
  </si>
  <si>
    <t>India</t>
  </si>
  <si>
    <t>IND</t>
  </si>
  <si>
    <t>Not classified</t>
  </si>
  <si>
    <t>INX</t>
  </si>
  <si>
    <t>Ireland</t>
  </si>
  <si>
    <t>IRL</t>
  </si>
  <si>
    <t>Iran, Islamic Rep.</t>
  </si>
  <si>
    <t>IRN</t>
  </si>
  <si>
    <t>Iraq</t>
  </si>
  <si>
    <t>IRQ</t>
  </si>
  <si>
    <t>Iceland</t>
  </si>
  <si>
    <t>ISL</t>
  </si>
  <si>
    <t>Israel</t>
  </si>
  <si>
    <t>ISR</t>
  </si>
  <si>
    <t>Italy</t>
  </si>
  <si>
    <t>ITA</t>
  </si>
  <si>
    <t>Jamaica</t>
  </si>
  <si>
    <t>JAM</t>
  </si>
  <si>
    <t>Jordan</t>
  </si>
  <si>
    <t>JOR</t>
  </si>
  <si>
    <t>JPN</t>
  </si>
  <si>
    <t>Kazakhstan</t>
  </si>
  <si>
    <t>KAZ</t>
  </si>
  <si>
    <t>Kenya</t>
  </si>
  <si>
    <t>KEN</t>
  </si>
  <si>
    <t>Kyrgyz Republic</t>
  </si>
  <si>
    <t>KGZ</t>
  </si>
  <si>
    <t>Cambodia</t>
  </si>
  <si>
    <t>KHM</t>
  </si>
  <si>
    <t>Kiribati</t>
  </si>
  <si>
    <t>KIR</t>
  </si>
  <si>
    <t>St. Kitts and Nevis</t>
  </si>
  <si>
    <t>KNA</t>
  </si>
  <si>
    <t>Korea, Rep.</t>
  </si>
  <si>
    <t>KOR</t>
  </si>
  <si>
    <t>Kuwait</t>
  </si>
  <si>
    <t>KWT</t>
  </si>
  <si>
    <t>Latin America &amp; Caribbean (excluding high income)</t>
  </si>
  <si>
    <t>LAC</t>
  </si>
  <si>
    <t>Lao PDR</t>
  </si>
  <si>
    <t>LAO</t>
  </si>
  <si>
    <t>Lebanon</t>
  </si>
  <si>
    <t>LBN</t>
  </si>
  <si>
    <t>Liberia</t>
  </si>
  <si>
    <t>LBR</t>
  </si>
  <si>
    <t>Libya</t>
  </si>
  <si>
    <t>LBY</t>
  </si>
  <si>
    <t>St. Lucia</t>
  </si>
  <si>
    <t>LCA</t>
  </si>
  <si>
    <t>Latin America &amp; Caribbean</t>
  </si>
  <si>
    <t>LCN</t>
  </si>
  <si>
    <t>Least developed countries: UN classification</t>
  </si>
  <si>
    <t>LDC</t>
  </si>
  <si>
    <t>Low income</t>
  </si>
  <si>
    <t>LIC</t>
  </si>
  <si>
    <t>Liechtenstein</t>
  </si>
  <si>
    <t>LIE</t>
  </si>
  <si>
    <t>Sri Lanka</t>
  </si>
  <si>
    <t>LKA</t>
  </si>
  <si>
    <t>Lower middle income</t>
  </si>
  <si>
    <t>LMC</t>
  </si>
  <si>
    <t>Low &amp; middle income</t>
  </si>
  <si>
    <t>LMY</t>
  </si>
  <si>
    <t>Lesotho</t>
  </si>
  <si>
    <t>LSO</t>
  </si>
  <si>
    <t>Late-demographic dividend</t>
  </si>
  <si>
    <t>LTE</t>
  </si>
  <si>
    <t>Lithuania</t>
  </si>
  <si>
    <t>LTU</t>
  </si>
  <si>
    <t>Luxembourg</t>
  </si>
  <si>
    <t>LUX</t>
  </si>
  <si>
    <t>Latvia</t>
  </si>
  <si>
    <t>LVA</t>
  </si>
  <si>
    <t>Macao SAR, China</t>
  </si>
  <si>
    <t>MAC</t>
  </si>
  <si>
    <t>St. Martin (French part)</t>
  </si>
  <si>
    <t>MAF</t>
  </si>
  <si>
    <t>Morocco</t>
  </si>
  <si>
    <t>MAR</t>
  </si>
  <si>
    <t>Monaco</t>
  </si>
  <si>
    <t>MCO</t>
  </si>
  <si>
    <t>Moldova</t>
  </si>
  <si>
    <t>MDA</t>
  </si>
  <si>
    <t>Madagascar</t>
  </si>
  <si>
    <t>MDG</t>
  </si>
  <si>
    <t>Maldives</t>
  </si>
  <si>
    <t>MDV</t>
  </si>
  <si>
    <t>Middle East &amp; North Africa</t>
  </si>
  <si>
    <t>MEA</t>
  </si>
  <si>
    <t>Mexico</t>
  </si>
  <si>
    <t>MEX</t>
  </si>
  <si>
    <t>Marshall Islands</t>
  </si>
  <si>
    <t>MHL</t>
  </si>
  <si>
    <t>Middle income</t>
  </si>
  <si>
    <t>MIC</t>
  </si>
  <si>
    <t>North Macedonia</t>
  </si>
  <si>
    <t>MKD</t>
  </si>
  <si>
    <t>Mali</t>
  </si>
  <si>
    <t>MLI</t>
  </si>
  <si>
    <t>Malta</t>
  </si>
  <si>
    <t>MLT</t>
  </si>
  <si>
    <t>Myanmar</t>
  </si>
  <si>
    <t>MMR</t>
  </si>
  <si>
    <t>Middle East &amp; North Africa (excluding high income)</t>
  </si>
  <si>
    <t>MNA</t>
  </si>
  <si>
    <t>Montenegro</t>
  </si>
  <si>
    <t>MNE</t>
  </si>
  <si>
    <t>Mongolia</t>
  </si>
  <si>
    <t>MNG</t>
  </si>
  <si>
    <t>Northern Mariana Islands</t>
  </si>
  <si>
    <t>MNP</t>
  </si>
  <si>
    <t>Mozambique</t>
  </si>
  <si>
    <t>MOZ</t>
  </si>
  <si>
    <t>Mauritania</t>
  </si>
  <si>
    <t>MRT</t>
  </si>
  <si>
    <t>Mauritius</t>
  </si>
  <si>
    <t>MUS</t>
  </si>
  <si>
    <t>Malawi</t>
  </si>
  <si>
    <t>MWI</t>
  </si>
  <si>
    <t>Malaysia</t>
  </si>
  <si>
    <t>MYS</t>
  </si>
  <si>
    <t>North America</t>
  </si>
  <si>
    <t>NAC</t>
  </si>
  <si>
    <t>Namibia</t>
  </si>
  <si>
    <t>NAM</t>
  </si>
  <si>
    <t>New Caledonia</t>
  </si>
  <si>
    <t>NCL</t>
  </si>
  <si>
    <t>Niger</t>
  </si>
  <si>
    <t>NER</t>
  </si>
  <si>
    <t>Nigeria</t>
  </si>
  <si>
    <t>NGA</t>
  </si>
  <si>
    <t>Nicaragua</t>
  </si>
  <si>
    <t>NIC</t>
  </si>
  <si>
    <t>NLD</t>
  </si>
  <si>
    <t>Norway</t>
  </si>
  <si>
    <t>NOR</t>
  </si>
  <si>
    <t>Nepal</t>
  </si>
  <si>
    <t>NPL</t>
  </si>
  <si>
    <t>Nauru</t>
  </si>
  <si>
    <t>NRU</t>
  </si>
  <si>
    <t>New Zealand</t>
  </si>
  <si>
    <t>NZL</t>
  </si>
  <si>
    <t>OECD members</t>
  </si>
  <si>
    <t>OED</t>
  </si>
  <si>
    <t>Oman</t>
  </si>
  <si>
    <t>OMN</t>
  </si>
  <si>
    <t>Other small states</t>
  </si>
  <si>
    <t>OSS</t>
  </si>
  <si>
    <t>Pakistan</t>
  </si>
  <si>
    <t>PAK</t>
  </si>
  <si>
    <t>Panama</t>
  </si>
  <si>
    <t>PAN</t>
  </si>
  <si>
    <t>Peru</t>
  </si>
  <si>
    <t>PER</t>
  </si>
  <si>
    <t>Philippines</t>
  </si>
  <si>
    <t>PHL</t>
  </si>
  <si>
    <t>Palau</t>
  </si>
  <si>
    <t>PLW</t>
  </si>
  <si>
    <t>Papua New Guinea</t>
  </si>
  <si>
    <t>PNG</t>
  </si>
  <si>
    <t>Poland</t>
  </si>
  <si>
    <t>POL</t>
  </si>
  <si>
    <t>Pre-demographic dividend</t>
  </si>
  <si>
    <t>PRE</t>
  </si>
  <si>
    <t>Puerto Rico</t>
  </si>
  <si>
    <t>PRI</t>
  </si>
  <si>
    <t>Korea, Dem. People's Rep.</t>
  </si>
  <si>
    <t>PRK</t>
  </si>
  <si>
    <t>Portugal</t>
  </si>
  <si>
    <t>PRT</t>
  </si>
  <si>
    <t>Paraguay</t>
  </si>
  <si>
    <t>PRY</t>
  </si>
  <si>
    <t>West Bank and Gaza</t>
  </si>
  <si>
    <t>PSE</t>
  </si>
  <si>
    <t>Pacific island small states</t>
  </si>
  <si>
    <t>PSS</t>
  </si>
  <si>
    <t>Post-demographic dividend</t>
  </si>
  <si>
    <t>PST</t>
  </si>
  <si>
    <t>French Polynesia</t>
  </si>
  <si>
    <t>PYF</t>
  </si>
  <si>
    <t>Qatar</t>
  </si>
  <si>
    <t>QAT</t>
  </si>
  <si>
    <t>Romania</t>
  </si>
  <si>
    <t>ROU</t>
  </si>
  <si>
    <t>Russian Federation</t>
  </si>
  <si>
    <t>RUS</t>
  </si>
  <si>
    <t>Rwanda</t>
  </si>
  <si>
    <t>RWA</t>
  </si>
  <si>
    <t>South Asia</t>
  </si>
  <si>
    <t>SAS</t>
  </si>
  <si>
    <t>Saudi Arabia</t>
  </si>
  <si>
    <t>SAU</t>
  </si>
  <si>
    <t>Sudan</t>
  </si>
  <si>
    <t>SDN</t>
  </si>
  <si>
    <t>Senegal</t>
  </si>
  <si>
    <t>SEN</t>
  </si>
  <si>
    <t>Singapore</t>
  </si>
  <si>
    <t>SGP</t>
  </si>
  <si>
    <t>Solomon Islands</t>
  </si>
  <si>
    <t>SLB</t>
  </si>
  <si>
    <t>Sierra Leone</t>
  </si>
  <si>
    <t>SLE</t>
  </si>
  <si>
    <t>El Salvador</t>
  </si>
  <si>
    <t>SLV</t>
  </si>
  <si>
    <t>San Marino</t>
  </si>
  <si>
    <t>SMR</t>
  </si>
  <si>
    <t>Somalia</t>
  </si>
  <si>
    <t>SOM</t>
  </si>
  <si>
    <t>Serbia</t>
  </si>
  <si>
    <t>SRB</t>
  </si>
  <si>
    <t>Sub-Saharan Africa (excluding high income)</t>
  </si>
  <si>
    <t>SSA</t>
  </si>
  <si>
    <t>South Sudan</t>
  </si>
  <si>
    <t>SSD</t>
  </si>
  <si>
    <t>Sub-Saharan Africa</t>
  </si>
  <si>
    <t>SSF</t>
  </si>
  <si>
    <t>Small states</t>
  </si>
  <si>
    <t>SST</t>
  </si>
  <si>
    <t>Sao Tome and Principe</t>
  </si>
  <si>
    <t>STP</t>
  </si>
  <si>
    <t>Suriname</t>
  </si>
  <si>
    <t>SUR</t>
  </si>
  <si>
    <t>Slovak Republic</t>
  </si>
  <si>
    <t>SVK</t>
  </si>
  <si>
    <t>Slovenia</t>
  </si>
  <si>
    <t>SVN</t>
  </si>
  <si>
    <t>Sweden</t>
  </si>
  <si>
    <t>SWE</t>
  </si>
  <si>
    <t>Eswatini</t>
  </si>
  <si>
    <t>SWZ</t>
  </si>
  <si>
    <t>Sint Maarten (Dutch part)</t>
  </si>
  <si>
    <t>SXM</t>
  </si>
  <si>
    <t>Seychelles</t>
  </si>
  <si>
    <t>SYC</t>
  </si>
  <si>
    <t>Syrian Arab Republic</t>
  </si>
  <si>
    <t>SYR</t>
  </si>
  <si>
    <t>Turks and Caicos Islands</t>
  </si>
  <si>
    <t>TCA</t>
  </si>
  <si>
    <t>Chad</t>
  </si>
  <si>
    <t>TCD</t>
  </si>
  <si>
    <t>East Asia &amp; Pacific (IDA &amp; IBRD countries)</t>
  </si>
  <si>
    <t>TEA</t>
  </si>
  <si>
    <t>Europe &amp; Central Asia (IDA &amp; IBRD countries)</t>
  </si>
  <si>
    <t>TEC</t>
  </si>
  <si>
    <t>Togo</t>
  </si>
  <si>
    <t>TGO</t>
  </si>
  <si>
    <t>Thailand</t>
  </si>
  <si>
    <t>THA</t>
  </si>
  <si>
    <t>Tajikistan</t>
  </si>
  <si>
    <t>TJK</t>
  </si>
  <si>
    <t>Turkmenistan</t>
  </si>
  <si>
    <t>TKM</t>
  </si>
  <si>
    <t>Latin America &amp; the Caribbean (IDA &amp; IBRD countries)</t>
  </si>
  <si>
    <t>TLA</t>
  </si>
  <si>
    <t>Timor-Leste</t>
  </si>
  <si>
    <t>TLS</t>
  </si>
  <si>
    <t>Middle East &amp; North Africa (IDA &amp; IBRD countries)</t>
  </si>
  <si>
    <t>TMN</t>
  </si>
  <si>
    <t>Tonga</t>
  </si>
  <si>
    <t>TON</t>
  </si>
  <si>
    <t>South Asia (IDA &amp; IBRD)</t>
  </si>
  <si>
    <t>TSA</t>
  </si>
  <si>
    <t>Sub-Saharan Africa (IDA &amp; IBRD countries)</t>
  </si>
  <si>
    <t>TSS</t>
  </si>
  <si>
    <t>Trinidad and Tobago</t>
  </si>
  <si>
    <t>TTO</t>
  </si>
  <si>
    <t>Tunisia</t>
  </si>
  <si>
    <t>TUN</t>
  </si>
  <si>
    <t>Turkiye</t>
  </si>
  <si>
    <t>TUR</t>
  </si>
  <si>
    <t>Tuvalu</t>
  </si>
  <si>
    <t>TUV</t>
  </si>
  <si>
    <t>Tanzania</t>
  </si>
  <si>
    <t>TZA</t>
  </si>
  <si>
    <t>Uganda</t>
  </si>
  <si>
    <t>UGA</t>
  </si>
  <si>
    <t>Ukraine</t>
  </si>
  <si>
    <t>UKR</t>
  </si>
  <si>
    <t>Upper middle income</t>
  </si>
  <si>
    <t>UMC</t>
  </si>
  <si>
    <t>Uruguay</t>
  </si>
  <si>
    <t>URY</t>
  </si>
  <si>
    <t>USA</t>
  </si>
  <si>
    <t>Uzbekistan</t>
  </si>
  <si>
    <t>UZB</t>
  </si>
  <si>
    <t>St. Vincent and the Grenadines</t>
  </si>
  <si>
    <t>VCT</t>
  </si>
  <si>
    <t>Venezuela, RB</t>
  </si>
  <si>
    <t>VEN</t>
  </si>
  <si>
    <t>British Virgin Islands</t>
  </si>
  <si>
    <t>VGB</t>
  </si>
  <si>
    <t>Virgin Islands (U.S.)</t>
  </si>
  <si>
    <t>VIR</t>
  </si>
  <si>
    <t>Viet Nam</t>
  </si>
  <si>
    <t>VNM</t>
  </si>
  <si>
    <t>Vanuatu</t>
  </si>
  <si>
    <t>VUT</t>
  </si>
  <si>
    <t>World</t>
  </si>
  <si>
    <t>WLD</t>
  </si>
  <si>
    <t>Samoa</t>
  </si>
  <si>
    <t>WSM</t>
  </si>
  <si>
    <t>Kosovo</t>
  </si>
  <si>
    <t>XKX</t>
  </si>
  <si>
    <t>Yemen, Rep.</t>
  </si>
  <si>
    <t>YEM</t>
  </si>
  <si>
    <t>South Africa</t>
  </si>
  <si>
    <t>ZAF</t>
  </si>
  <si>
    <t>Zambia</t>
  </si>
  <si>
    <t>ZMB</t>
  </si>
  <si>
    <t>Zimbabwe</t>
  </si>
  <si>
    <t>ZWE</t>
  </si>
  <si>
    <t>Global Average 1961-2022</t>
  </si>
  <si>
    <t>Global Average 1989-2022</t>
  </si>
  <si>
    <t>Source: Worldbank</t>
  </si>
  <si>
    <t>https://data.worldbank.org/indicator/NY.GDP.MKTP.KD.ZG?end=1993&amp;start=1989</t>
  </si>
  <si>
    <t>PV(FCF)</t>
  </si>
  <si>
    <t>Cash</t>
  </si>
  <si>
    <t>Given change in NWC</t>
  </si>
  <si>
    <t>Cash balance accumulation</t>
  </si>
  <si>
    <t>Cash assumption in NWC</t>
  </si>
  <si>
    <t>Backout calculation of cash from NWC</t>
  </si>
  <si>
    <t>Note: no NWC adaption for different scenarios needed, since change in NWC is excluding cash position, yet on BS cash accumulation is included in the NWC position</t>
  </si>
  <si>
    <t>Average revolver balance</t>
  </si>
  <si>
    <t>Cost of debt calculation</t>
  </si>
  <si>
    <t>Debt items listed by seniority</t>
  </si>
  <si>
    <t>Warrant - PV</t>
  </si>
  <si>
    <t>Debt and Cost of Debt</t>
  </si>
  <si>
    <t>Average interest per debt instrument</t>
  </si>
  <si>
    <t>Percentage of total debt</t>
  </si>
  <si>
    <t>Total debt</t>
  </si>
  <si>
    <t>Weighted average cost of debt</t>
  </si>
  <si>
    <t>Senior Term repayment above the planned debt schedule in year 1 and 2 will be punished with an extra interest rate -&gt; paydown higher than planned debt schedule will start only in year 3</t>
  </si>
  <si>
    <t>Mezzanine can only be paid down once senior is repaid</t>
  </si>
  <si>
    <t>Since vendor note is subordinated to all of the items above, the repayment will start only after full repayment of the other debt items</t>
  </si>
  <si>
    <t>Implied interest rates</t>
  </si>
  <si>
    <t>Interest payments</t>
  </si>
  <si>
    <t>Balance sheet debt items from projections</t>
  </si>
  <si>
    <t>Implied interes rates</t>
  </si>
  <si>
    <t>MediMedia: an LBO analysis</t>
  </si>
  <si>
    <t>Peer group analysis</t>
  </si>
  <si>
    <t>Sensitivity Analysis</t>
  </si>
  <si>
    <t>Planned debt repayment</t>
  </si>
  <si>
    <t>Aggressive debt repayment</t>
  </si>
  <si>
    <t>Debt repayment</t>
  </si>
  <si>
    <t>Group 2</t>
  </si>
  <si>
    <t>Cash interest income</t>
  </si>
  <si>
    <t>Cash accumulation</t>
  </si>
  <si>
    <t>Check from cash generation in planned debt schedule</t>
  </si>
  <si>
    <t>Implied cash interest rate</t>
  </si>
  <si>
    <t>PV (TS)</t>
  </si>
  <si>
    <t>APV - MediMedia</t>
  </si>
  <si>
    <t>Average implied cash interest rate</t>
  </si>
  <si>
    <t>Option pricing with circularity issue (illustrative purposes)</t>
  </si>
  <si>
    <t>Revolver drawing in year 1 is seen as given. Revolver repayment in year 1 and 2 will be punished with an extra interest rate -&gt; paydown will start only in year 3</t>
  </si>
  <si>
    <t>Accumulated cash account</t>
  </si>
  <si>
    <t>Revolver draw</t>
  </si>
  <si>
    <t>Sensistivity analysis - Stock price</t>
  </si>
  <si>
    <t>Cash starting balance</t>
  </si>
  <si>
    <t>Excess cash use</t>
  </si>
  <si>
    <t>Use excess of minimum balance</t>
  </si>
  <si>
    <t>Assumed to have an interest rate for 1992 of the average of 1991 and 1993 (steady decrease of interest rates assumed)</t>
  </si>
  <si>
    <t>(best to have the same max iterations as in the screenshot)</t>
  </si>
  <si>
    <t>Exit multiple</t>
  </si>
  <si>
    <t>Net debt calculations</t>
  </si>
  <si>
    <t>Net debt balance</t>
  </si>
  <si>
    <t>Scenario 1: Planned debt repayment</t>
  </si>
  <si>
    <t>Scenario 2: Aggressive debt repayment</t>
  </si>
  <si>
    <t>Chris Ujcic, Ingvild Grong, Peder Wøien, Andreas Ellingsen Teien and Daniel Wiig Andersen</t>
  </si>
  <si>
    <t>Initial equity</t>
  </si>
  <si>
    <t>IRR Revolving Debt</t>
  </si>
  <si>
    <t>Warrant total value</t>
  </si>
  <si>
    <t>IRR</t>
  </si>
  <si>
    <t>Exit multiple range</t>
  </si>
  <si>
    <t>Value ($m)</t>
  </si>
  <si>
    <t>% change</t>
  </si>
  <si>
    <t>Cash for repayment calculation</t>
  </si>
  <si>
    <t>Size</t>
  </si>
  <si>
    <t>Cost of Equity</t>
  </si>
  <si>
    <t>% of total debt</t>
  </si>
  <si>
    <t>Avg int. per instrument</t>
  </si>
  <si>
    <t>CF Mezzanine</t>
  </si>
  <si>
    <t>Adjusted Present Value ($m)</t>
  </si>
  <si>
    <t>IRR Mezzanine Debt</t>
  </si>
  <si>
    <t>IRR Senior Debt</t>
  </si>
  <si>
    <t>For this sheet, please turn on circular references</t>
  </si>
  <si>
    <t>Avg</t>
  </si>
  <si>
    <t>PV(TS)</t>
  </si>
  <si>
    <t>PV(TV)</t>
  </si>
  <si>
    <t>CF Vendor Note</t>
  </si>
  <si>
    <t>CF Revolving</t>
  </si>
  <si>
    <t>FCF less interest payment</t>
  </si>
  <si>
    <t>Sum interest payment</t>
  </si>
  <si>
    <t>Interest as % of FCF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</si>
</sst>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 &quot;CHF&quot;\ * #,##0.00_ ;_ &quot;CHF&quot;\ * \-#,##0.00_ ;_ &quot;CHF&quot;\ * &quot;-&quot;??_ ;_ @_ "/>
    <numFmt numFmtId="165" formatCode="0.0%"/>
    <numFmt numFmtId="166" formatCode="#,##0.0%"/>
    <numFmt numFmtId="167" formatCode="0.0\x"/>
    <numFmt numFmtId="168" formatCode="0.000%"/>
    <numFmt numFmtId="169" formatCode="_-[$€-2]\ * #,##0.00_-;\-[$€-2]\ * #,##0.00_-;_-[$€-2]\ * &quot;-&quot;??_-;_-@_-"/>
    <numFmt numFmtId="170" formatCode="_-[$$-409]* #,##0.00_ ;_-[$$-409]* \-#,##0.00\ ;_-[$$-409]* &quot;-&quot;??_ ;_-@_ "/>
    <numFmt numFmtId="171" formatCode="0.0000%"/>
    <numFmt numFmtId="172" formatCode="0.000"/>
    <numFmt numFmtId="173" formatCode="0.0"/>
  </numFmts>
  <fonts count="36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sz val="14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5"/>
      <color theme="0"/>
      <name val="Aptos Narrow"/>
      <family val="2"/>
      <scheme val="minor"/>
    </font>
    <font>
      <sz val="11"/>
      <color theme="1"/>
      <name val="Aptos Narrow"/>
      <family val="2"/>
      <charset val="204"/>
      <scheme val="minor"/>
    </font>
    <font>
      <sz val="11"/>
      <color theme="4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C00000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scheme val="minor"/>
    </font>
    <font>
      <b/>
      <i/>
      <sz val="11"/>
      <color theme="1"/>
      <name val="Aptos Narrow"/>
      <family val="2"/>
      <scheme val="minor"/>
    </font>
    <font>
      <b/>
      <sz val="50"/>
      <color theme="0"/>
      <name val="Aptos Narrow"/>
      <family val="2"/>
      <scheme val="minor"/>
    </font>
    <font>
      <sz val="5"/>
      <color theme="1"/>
      <name val="Aptos Narrow"/>
      <family val="2"/>
      <scheme val="minor"/>
    </font>
    <font>
      <sz val="2"/>
      <color theme="1"/>
      <name val="Aptos Narrow"/>
      <family val="2"/>
      <scheme val="minor"/>
    </font>
    <font>
      <i/>
      <sz val="20"/>
      <color theme="1"/>
      <name val="Aptos Narrow"/>
      <family val="2"/>
      <scheme val="minor"/>
    </font>
    <font>
      <sz val="4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name val="Aptos Narrow"/>
      <family val="2"/>
      <scheme val="minor"/>
    </font>
    <font>
      <b/>
      <sz val="11"/>
      <name val="Aptos Narrow"/>
      <family val="2"/>
      <scheme val="minor"/>
    </font>
    <font>
      <i/>
      <sz val="11"/>
      <name val="Aptos Narrow"/>
      <family val="2"/>
      <scheme val="minor"/>
    </font>
    <font>
      <sz val="14"/>
      <color rgb="FF000000"/>
      <name val="Times"/>
    </font>
    <font>
      <i/>
      <sz val="11"/>
      <color theme="0" tint="-0.499984740745262"/>
      <name val="Aptos Narrow"/>
      <scheme val="minor"/>
    </font>
    <font>
      <b/>
      <i/>
      <sz val="11"/>
      <color theme="1"/>
      <name val="Aptos Narrow"/>
      <scheme val="minor"/>
    </font>
    <font>
      <sz val="11"/>
      <color theme="1"/>
      <name val="Aptos Narrow"/>
      <scheme val="minor"/>
    </font>
    <font>
      <b/>
      <sz val="11"/>
      <color theme="0"/>
      <name val="Aptos Narrow"/>
      <scheme val="minor"/>
    </font>
    <font>
      <b/>
      <sz val="11"/>
      <color theme="1"/>
      <name val="Aptos Narrow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3" tint="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lightUp"/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297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0" fillId="0" borderId="1" xfId="0" applyBorder="1"/>
    <xf numFmtId="0" fontId="4" fillId="2" borderId="0" xfId="0" applyFont="1" applyFill="1"/>
    <xf numFmtId="0" fontId="1" fillId="0" borderId="1" xfId="0" applyFont="1" applyBorder="1"/>
    <xf numFmtId="0" fontId="0" fillId="0" borderId="2" xfId="0" applyBorder="1"/>
    <xf numFmtId="14" fontId="0" fillId="0" borderId="0" xfId="0" applyNumberFormat="1"/>
    <xf numFmtId="0" fontId="6" fillId="0" borderId="1" xfId="0" applyFont="1" applyBorder="1"/>
    <xf numFmtId="14" fontId="0" fillId="0" borderId="1" xfId="0" applyNumberFormat="1" applyBorder="1"/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right"/>
    </xf>
    <xf numFmtId="0" fontId="0" fillId="0" borderId="3" xfId="0" applyBorder="1"/>
    <xf numFmtId="0" fontId="0" fillId="0" borderId="0" xfId="0" applyAlignment="1">
      <alignment horizontal="left" indent="1"/>
    </xf>
    <xf numFmtId="0" fontId="1" fillId="0" borderId="0" xfId="0" applyFont="1"/>
    <xf numFmtId="0" fontId="0" fillId="0" borderId="3" xfId="0" applyBorder="1" applyAlignment="1">
      <alignment horizontal="left" indent="1"/>
    </xf>
    <xf numFmtId="0" fontId="6" fillId="0" borderId="0" xfId="0" applyFont="1"/>
    <xf numFmtId="0" fontId="7" fillId="2" borderId="0" xfId="0" applyFont="1" applyFill="1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17" fontId="0" fillId="0" borderId="0" xfId="0" applyNumberFormat="1"/>
    <xf numFmtId="0" fontId="1" fillId="0" borderId="2" xfId="0" applyFont="1" applyBorder="1"/>
    <xf numFmtId="0" fontId="0" fillId="0" borderId="4" xfId="0" applyBorder="1"/>
    <xf numFmtId="0" fontId="0" fillId="4" borderId="0" xfId="0" applyFill="1"/>
    <xf numFmtId="2" fontId="0" fillId="0" borderId="0" xfId="0" applyNumberFormat="1"/>
    <xf numFmtId="0" fontId="0" fillId="5" borderId="0" xfId="0" applyFill="1" applyAlignment="1">
      <alignment horizontal="left" indent="1"/>
    </xf>
    <xf numFmtId="0" fontId="0" fillId="5" borderId="0" xfId="0" applyFill="1"/>
    <xf numFmtId="9" fontId="0" fillId="0" borderId="0" xfId="1" applyFont="1"/>
    <xf numFmtId="9" fontId="0" fillId="0" borderId="0" xfId="0" applyNumberFormat="1"/>
    <xf numFmtId="2" fontId="0" fillId="0" borderId="0" xfId="1" applyNumberFormat="1" applyFont="1"/>
    <xf numFmtId="10" fontId="0" fillId="0" borderId="0" xfId="0" applyNumberFormat="1" applyAlignment="1">
      <alignment horizontal="right"/>
    </xf>
    <xf numFmtId="0" fontId="1" fillId="6" borderId="1" xfId="0" applyFont="1" applyFill="1" applyBorder="1"/>
    <xf numFmtId="0" fontId="1" fillId="6" borderId="4" xfId="0" applyFont="1" applyFill="1" applyBorder="1"/>
    <xf numFmtId="0" fontId="8" fillId="0" borderId="0" xfId="0" applyFont="1"/>
    <xf numFmtId="166" fontId="8" fillId="0" borderId="0" xfId="0" applyNumberFormat="1" applyFont="1"/>
    <xf numFmtId="4" fontId="8" fillId="0" borderId="0" xfId="0" applyNumberFormat="1" applyFont="1"/>
    <xf numFmtId="10" fontId="0" fillId="0" borderId="0" xfId="0" applyNumberFormat="1"/>
    <xf numFmtId="165" fontId="0" fillId="0" borderId="0" xfId="0" applyNumberFormat="1"/>
    <xf numFmtId="167" fontId="0" fillId="6" borderId="0" xfId="0" applyNumberFormat="1" applyFill="1"/>
    <xf numFmtId="0" fontId="1" fillId="7" borderId="1" xfId="0" applyFont="1" applyFill="1" applyBorder="1" applyAlignment="1">
      <alignment horizontal="right"/>
    </xf>
    <xf numFmtId="0" fontId="1" fillId="8" borderId="1" xfId="0" applyFont="1" applyFill="1" applyBorder="1" applyAlignment="1">
      <alignment horizontal="right"/>
    </xf>
    <xf numFmtId="0" fontId="1" fillId="9" borderId="1" xfId="0" applyFont="1" applyFill="1" applyBorder="1" applyAlignment="1">
      <alignment horizontal="right"/>
    </xf>
    <xf numFmtId="2" fontId="1" fillId="0" borderId="2" xfId="0" applyNumberFormat="1" applyFont="1" applyBorder="1"/>
    <xf numFmtId="2" fontId="0" fillId="0" borderId="4" xfId="0" applyNumberFormat="1" applyBorder="1"/>
    <xf numFmtId="165" fontId="0" fillId="0" borderId="0" xfId="1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2" fontId="0" fillId="0" borderId="3" xfId="0" applyNumberFormat="1" applyBorder="1"/>
    <xf numFmtId="0" fontId="0" fillId="8" borderId="0" xfId="0" applyFill="1"/>
    <xf numFmtId="0" fontId="0" fillId="0" borderId="1" xfId="0" applyBorder="1" applyAlignment="1">
      <alignment horizontal="left" indent="1"/>
    </xf>
    <xf numFmtId="0" fontId="0" fillId="6" borderId="0" xfId="0" applyFill="1"/>
    <xf numFmtId="0" fontId="0" fillId="6" borderId="0" xfId="0" applyFill="1" applyAlignment="1">
      <alignment horizontal="right"/>
    </xf>
    <xf numFmtId="10" fontId="0" fillId="0" borderId="1" xfId="0" applyNumberFormat="1" applyBorder="1"/>
    <xf numFmtId="165" fontId="0" fillId="6" borderId="0" xfId="1" applyNumberFormat="1" applyFont="1" applyFill="1"/>
    <xf numFmtId="0" fontId="10" fillId="0" borderId="0" xfId="0" applyFont="1"/>
    <xf numFmtId="0" fontId="10" fillId="0" borderId="1" xfId="0" applyFont="1" applyBorder="1"/>
    <xf numFmtId="2" fontId="1" fillId="0" borderId="0" xfId="0" applyNumberFormat="1" applyFont="1"/>
    <xf numFmtId="0" fontId="11" fillId="0" borderId="0" xfId="0" applyFont="1"/>
    <xf numFmtId="2" fontId="1" fillId="6" borderId="4" xfId="0" applyNumberFormat="1" applyFont="1" applyFill="1" applyBorder="1"/>
    <xf numFmtId="2" fontId="1" fillId="6" borderId="1" xfId="0" applyNumberFormat="1" applyFont="1" applyFill="1" applyBorder="1"/>
    <xf numFmtId="2" fontId="5" fillId="0" borderId="0" xfId="1" applyNumberFormat="1" applyFont="1"/>
    <xf numFmtId="10" fontId="5" fillId="0" borderId="0" xfId="1" applyNumberFormat="1" applyFont="1"/>
    <xf numFmtId="168" fontId="0" fillId="0" borderId="0" xfId="0" applyNumberFormat="1"/>
    <xf numFmtId="167" fontId="0" fillId="0" borderId="0" xfId="0" applyNumberFormat="1"/>
    <xf numFmtId="0" fontId="0" fillId="0" borderId="6" xfId="0" applyBorder="1"/>
    <xf numFmtId="0" fontId="0" fillId="0" borderId="7" xfId="0" applyBorder="1"/>
    <xf numFmtId="167" fontId="0" fillId="0" borderId="7" xfId="0" applyNumberFormat="1" applyBorder="1"/>
    <xf numFmtId="0" fontId="0" fillId="0" borderId="8" xfId="0" applyBorder="1"/>
    <xf numFmtId="0" fontId="1" fillId="0" borderId="7" xfId="0" applyFont="1" applyBorder="1" applyAlignment="1">
      <alignment horizontal="right"/>
    </xf>
    <xf numFmtId="0" fontId="1" fillId="8" borderId="0" xfId="0" applyFont="1" applyFill="1"/>
    <xf numFmtId="10" fontId="0" fillId="0" borderId="0" xfId="1" applyNumberFormat="1" applyFont="1"/>
    <xf numFmtId="171" fontId="0" fillId="0" borderId="0" xfId="1" applyNumberFormat="1" applyFont="1"/>
    <xf numFmtId="168" fontId="0" fillId="8" borderId="0" xfId="1" applyNumberFormat="1" applyFont="1" applyFill="1"/>
    <xf numFmtId="168" fontId="0" fillId="4" borderId="0" xfId="0" applyNumberFormat="1" applyFill="1"/>
    <xf numFmtId="165" fontId="0" fillId="4" borderId="0" xfId="1" applyNumberFormat="1" applyFont="1" applyFill="1"/>
    <xf numFmtId="0" fontId="0" fillId="3" borderId="0" xfId="0" applyFill="1"/>
    <xf numFmtId="10" fontId="0" fillId="3" borderId="0" xfId="0" applyNumberFormat="1" applyFill="1"/>
    <xf numFmtId="168" fontId="0" fillId="3" borderId="0" xfId="0" applyNumberFormat="1" applyFill="1"/>
    <xf numFmtId="0" fontId="0" fillId="3" borderId="1" xfId="0" applyFill="1" applyBorder="1"/>
    <xf numFmtId="0" fontId="0" fillId="11" borderId="0" xfId="0" applyFill="1"/>
    <xf numFmtId="165" fontId="0" fillId="3" borderId="0" xfId="1" applyNumberFormat="1" applyFont="1" applyFill="1"/>
    <xf numFmtId="165" fontId="0" fillId="3" borderId="0" xfId="0" applyNumberFormat="1" applyFill="1"/>
    <xf numFmtId="171" fontId="0" fillId="3" borderId="0" xfId="1" applyNumberFormat="1" applyFont="1" applyFill="1"/>
    <xf numFmtId="168" fontId="0" fillId="3" borderId="0" xfId="1" applyNumberFormat="1" applyFont="1" applyFill="1"/>
    <xf numFmtId="168" fontId="0" fillId="6" borderId="0" xfId="0" applyNumberFormat="1" applyFill="1"/>
    <xf numFmtId="0" fontId="0" fillId="3" borderId="1" xfId="0" applyFill="1" applyBorder="1" applyAlignment="1">
      <alignment horizontal="right"/>
    </xf>
    <xf numFmtId="0" fontId="6" fillId="3" borderId="1" xfId="0" applyFont="1" applyFill="1" applyBorder="1"/>
    <xf numFmtId="14" fontId="0" fillId="3" borderId="0" xfId="0" applyNumberFormat="1" applyFill="1"/>
    <xf numFmtId="0" fontId="6" fillId="3" borderId="0" xfId="0" applyFont="1" applyFill="1"/>
    <xf numFmtId="0" fontId="14" fillId="0" borderId="0" xfId="0" applyFont="1"/>
    <xf numFmtId="169" fontId="0" fillId="3" borderId="0" xfId="0" applyNumberFormat="1" applyFill="1"/>
    <xf numFmtId="170" fontId="0" fillId="3" borderId="0" xfId="0" applyNumberFormat="1" applyFill="1"/>
    <xf numFmtId="169" fontId="0" fillId="3" borderId="0" xfId="0" applyNumberFormat="1" applyFill="1" applyAlignment="1">
      <alignment horizontal="right"/>
    </xf>
    <xf numFmtId="14" fontId="0" fillId="3" borderId="2" xfId="0" applyNumberFormat="1" applyFill="1" applyBorder="1"/>
    <xf numFmtId="169" fontId="0" fillId="3" borderId="2" xfId="0" applyNumberFormat="1" applyFill="1" applyBorder="1"/>
    <xf numFmtId="170" fontId="0" fillId="3" borderId="2" xfId="0" applyNumberFormat="1" applyFill="1" applyBorder="1"/>
    <xf numFmtId="14" fontId="0" fillId="3" borderId="1" xfId="0" applyNumberForma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70" fontId="0" fillId="3" borderId="1" xfId="0" applyNumberFormat="1" applyFill="1" applyBorder="1"/>
    <xf numFmtId="0" fontId="14" fillId="0" borderId="0" xfId="0" applyFont="1" applyAlignment="1">
      <alignment horizontal="right"/>
    </xf>
    <xf numFmtId="0" fontId="14" fillId="0" borderId="4" xfId="0" applyFont="1" applyBorder="1"/>
    <xf numFmtId="2" fontId="14" fillId="0" borderId="4" xfId="0" applyNumberFormat="1" applyFont="1" applyBorder="1"/>
    <xf numFmtId="2" fontId="14" fillId="0" borderId="0" xfId="0" applyNumberFormat="1" applyFont="1"/>
    <xf numFmtId="16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1" fillId="7" borderId="0" xfId="0" applyFont="1" applyFill="1"/>
    <xf numFmtId="0" fontId="0" fillId="7" borderId="0" xfId="0" applyFill="1"/>
    <xf numFmtId="0" fontId="1" fillId="12" borderId="0" xfId="0" applyFont="1" applyFill="1"/>
    <xf numFmtId="0" fontId="0" fillId="12" borderId="0" xfId="0" applyFill="1"/>
    <xf numFmtId="0" fontId="0" fillId="13" borderId="0" xfId="0" applyFill="1"/>
    <xf numFmtId="2" fontId="6" fillId="0" borderId="0" xfId="1" applyNumberFormat="1" applyFont="1" applyBorder="1"/>
    <xf numFmtId="2" fontId="6" fillId="0" borderId="0" xfId="0" applyNumberFormat="1" applyFont="1"/>
    <xf numFmtId="0" fontId="6" fillId="0" borderId="4" xfId="0" applyFont="1" applyBorder="1"/>
    <xf numFmtId="2" fontId="6" fillId="0" borderId="4" xfId="0" applyNumberFormat="1" applyFont="1" applyBorder="1"/>
    <xf numFmtId="2" fontId="0" fillId="14" borderId="0" xfId="0" applyNumberFormat="1" applyFill="1"/>
    <xf numFmtId="10" fontId="9" fillId="10" borderId="5" xfId="1" applyNumberFormat="1" applyFont="1" applyFill="1" applyBorder="1"/>
    <xf numFmtId="0" fontId="5" fillId="0" borderId="0" xfId="0" applyFont="1"/>
    <xf numFmtId="0" fontId="5" fillId="0" borderId="0" xfId="0" quotePrefix="1" applyFont="1"/>
    <xf numFmtId="2" fontId="5" fillId="0" borderId="0" xfId="0" applyNumberFormat="1" applyFont="1"/>
    <xf numFmtId="9" fontId="5" fillId="0" borderId="0" xfId="1" applyFont="1" applyBorder="1"/>
    <xf numFmtId="0" fontId="1" fillId="3" borderId="1" xfId="0" applyFont="1" applyFill="1" applyBorder="1"/>
    <xf numFmtId="0" fontId="6" fillId="3" borderId="0" xfId="0" applyFont="1" applyFill="1" applyAlignment="1">
      <alignment horizontal="right"/>
    </xf>
    <xf numFmtId="4" fontId="0" fillId="3" borderId="0" xfId="0" applyNumberFormat="1" applyFill="1"/>
    <xf numFmtId="0" fontId="0" fillId="3" borderId="4" xfId="0" applyFill="1" applyBorder="1"/>
    <xf numFmtId="2" fontId="0" fillId="3" borderId="0" xfId="0" applyNumberFormat="1" applyFill="1"/>
    <xf numFmtId="0" fontId="0" fillId="3" borderId="0" xfId="0" applyFill="1" applyAlignment="1">
      <alignment horizontal="left" indent="1"/>
    </xf>
    <xf numFmtId="170" fontId="0" fillId="3" borderId="4" xfId="0" applyNumberFormat="1" applyFill="1" applyBorder="1"/>
    <xf numFmtId="9" fontId="0" fillId="3" borderId="0" xfId="1" applyFont="1" applyFill="1" applyBorder="1"/>
    <xf numFmtId="0" fontId="1" fillId="10" borderId="0" xfId="0" applyFont="1" applyFill="1"/>
    <xf numFmtId="165" fontId="0" fillId="10" borderId="0" xfId="1" applyNumberFormat="1" applyFont="1" applyFill="1"/>
    <xf numFmtId="10" fontId="0" fillId="3" borderId="0" xfId="1" applyNumberFormat="1" applyFont="1" applyFill="1" applyBorder="1"/>
    <xf numFmtId="10" fontId="0" fillId="3" borderId="4" xfId="1" applyNumberFormat="1" applyFont="1" applyFill="1" applyBorder="1"/>
    <xf numFmtId="165" fontId="0" fillId="3" borderId="1" xfId="1" applyNumberFormat="1" applyFont="1" applyFill="1" applyBorder="1"/>
    <xf numFmtId="0" fontId="17" fillId="2" borderId="0" xfId="0" applyFont="1" applyFill="1"/>
    <xf numFmtId="10" fontId="0" fillId="3" borderId="0" xfId="1" applyNumberFormat="1" applyFont="1" applyFill="1"/>
    <xf numFmtId="0" fontId="0" fillId="3" borderId="9" xfId="0" applyFill="1" applyBorder="1"/>
    <xf numFmtId="2" fontId="0" fillId="3" borderId="9" xfId="0" applyNumberFormat="1" applyFill="1" applyBorder="1"/>
    <xf numFmtId="10" fontId="0" fillId="3" borderId="1" xfId="1" applyNumberFormat="1" applyFont="1" applyFill="1" applyBorder="1"/>
    <xf numFmtId="170" fontId="0" fillId="3" borderId="0" xfId="0" applyNumberFormat="1" applyFill="1" applyAlignment="1">
      <alignment horizontal="right"/>
    </xf>
    <xf numFmtId="0" fontId="1" fillId="7" borderId="2" xfId="0" applyFont="1" applyFill="1" applyBorder="1" applyAlignment="1">
      <alignment horizontal="right"/>
    </xf>
    <xf numFmtId="0" fontId="18" fillId="15" borderId="0" xfId="0" applyFont="1" applyFill="1"/>
    <xf numFmtId="0" fontId="18" fillId="15" borderId="1" xfId="0" applyFont="1" applyFill="1" applyBorder="1"/>
    <xf numFmtId="0" fontId="2" fillId="15" borderId="1" xfId="0" applyFont="1" applyFill="1" applyBorder="1"/>
    <xf numFmtId="0" fontId="1" fillId="3" borderId="0" xfId="0" applyFont="1" applyFill="1"/>
    <xf numFmtId="0" fontId="19" fillId="3" borderId="10" xfId="0" applyFont="1" applyFill="1" applyBorder="1"/>
    <xf numFmtId="0" fontId="14" fillId="3" borderId="0" xfId="0" applyFont="1" applyFill="1"/>
    <xf numFmtId="172" fontId="0" fillId="3" borderId="0" xfId="0" applyNumberFormat="1" applyFill="1"/>
    <xf numFmtId="9" fontId="1" fillId="0" borderId="0" xfId="0" applyNumberFormat="1" applyFont="1"/>
    <xf numFmtId="0" fontId="1" fillId="0" borderId="12" xfId="0" applyFont="1" applyBorder="1"/>
    <xf numFmtId="1" fontId="1" fillId="0" borderId="12" xfId="0" applyNumberFormat="1" applyFont="1" applyBorder="1"/>
    <xf numFmtId="173" fontId="1" fillId="0" borderId="12" xfId="0" applyNumberFormat="1" applyFont="1" applyBorder="1"/>
    <xf numFmtId="10" fontId="1" fillId="0" borderId="0" xfId="0" applyNumberFormat="1" applyFont="1"/>
    <xf numFmtId="0" fontId="20" fillId="0" borderId="1" xfId="0" applyFont="1" applyBorder="1"/>
    <xf numFmtId="0" fontId="0" fillId="15" borderId="0" xfId="0" applyFill="1"/>
    <xf numFmtId="0" fontId="0" fillId="0" borderId="9" xfId="0" applyBorder="1"/>
    <xf numFmtId="2" fontId="0" fillId="0" borderId="9" xfId="0" applyNumberFormat="1" applyBorder="1"/>
    <xf numFmtId="10" fontId="0" fillId="0" borderId="1" xfId="1" applyNumberFormat="1" applyFont="1" applyBorder="1"/>
    <xf numFmtId="165" fontId="0" fillId="0" borderId="1" xfId="1" applyNumberFormat="1" applyFont="1" applyBorder="1"/>
    <xf numFmtId="10" fontId="0" fillId="0" borderId="0" xfId="1" applyNumberFormat="1" applyFont="1" applyBorder="1"/>
    <xf numFmtId="0" fontId="0" fillId="15" borderId="1" xfId="0" applyFill="1" applyBorder="1"/>
    <xf numFmtId="165" fontId="0" fillId="15" borderId="1" xfId="1" applyNumberFormat="1" applyFont="1" applyFill="1" applyBorder="1"/>
    <xf numFmtId="165" fontId="0" fillId="15" borderId="0" xfId="1" applyNumberFormat="1" applyFont="1" applyFill="1"/>
    <xf numFmtId="10" fontId="0" fillId="7" borderId="0" xfId="1" applyNumberFormat="1" applyFont="1" applyFill="1"/>
    <xf numFmtId="0" fontId="2" fillId="15" borderId="0" xfId="0" applyFont="1" applyFill="1"/>
    <xf numFmtId="0" fontId="21" fillId="15" borderId="0" xfId="0" applyFont="1" applyFill="1"/>
    <xf numFmtId="0" fontId="6" fillId="7" borderId="1" xfId="0" applyFont="1" applyFill="1" applyBorder="1"/>
    <xf numFmtId="0" fontId="0" fillId="7" borderId="1" xfId="0" applyFill="1" applyBorder="1"/>
    <xf numFmtId="0" fontId="22" fillId="0" borderId="0" xfId="0" applyFont="1"/>
    <xf numFmtId="0" fontId="23" fillId="0" borderId="0" xfId="0" applyFont="1"/>
    <xf numFmtId="9" fontId="6" fillId="0" borderId="4" xfId="1" applyFont="1" applyBorder="1"/>
    <xf numFmtId="0" fontId="24" fillId="0" borderId="0" xfId="0" applyFont="1"/>
    <xf numFmtId="0" fontId="6" fillId="0" borderId="2" xfId="0" applyFont="1" applyBorder="1"/>
    <xf numFmtId="167" fontId="0" fillId="3" borderId="13" xfId="0" applyNumberFormat="1" applyFill="1" applyBorder="1"/>
    <xf numFmtId="167" fontId="0" fillId="3" borderId="14" xfId="0" applyNumberFormat="1" applyFill="1" applyBorder="1"/>
    <xf numFmtId="167" fontId="0" fillId="3" borderId="15" xfId="0" applyNumberFormat="1" applyFill="1" applyBorder="1"/>
    <xf numFmtId="0" fontId="1" fillId="3" borderId="2" xfId="0" applyFont="1" applyFill="1" applyBorder="1"/>
    <xf numFmtId="170" fontId="0" fillId="0" borderId="0" xfId="2" applyNumberFormat="1" applyFont="1" applyFill="1" applyBorder="1"/>
    <xf numFmtId="167" fontId="0" fillId="3" borderId="0" xfId="0" applyNumberFormat="1" applyFill="1"/>
    <xf numFmtId="3" fontId="0" fillId="7" borderId="17" xfId="0" applyNumberFormat="1" applyFill="1" applyBorder="1"/>
    <xf numFmtId="0" fontId="25" fillId="0" borderId="0" xfId="0" applyFont="1"/>
    <xf numFmtId="0" fontId="26" fillId="16" borderId="0" xfId="0" applyFont="1" applyFill="1"/>
    <xf numFmtId="0" fontId="27" fillId="16" borderId="0" xfId="0" applyFont="1" applyFill="1"/>
    <xf numFmtId="0" fontId="28" fillId="16" borderId="0" xfId="0" applyFont="1" applyFill="1"/>
    <xf numFmtId="9" fontId="26" fillId="16" borderId="5" xfId="0" applyNumberFormat="1" applyFont="1" applyFill="1" applyBorder="1"/>
    <xf numFmtId="0" fontId="28" fillId="16" borderId="1" xfId="0" applyFont="1" applyFill="1" applyBorder="1"/>
    <xf numFmtId="0" fontId="26" fillId="16" borderId="1" xfId="0" applyFont="1" applyFill="1" applyBorder="1"/>
    <xf numFmtId="9" fontId="26" fillId="16" borderId="0" xfId="1" applyFont="1" applyFill="1"/>
    <xf numFmtId="10" fontId="26" fillId="16" borderId="0" xfId="0" applyNumberFormat="1" applyFont="1" applyFill="1"/>
    <xf numFmtId="2" fontId="26" fillId="16" borderId="0" xfId="0" applyNumberFormat="1" applyFont="1" applyFill="1"/>
    <xf numFmtId="2" fontId="26" fillId="16" borderId="0" xfId="1" applyNumberFormat="1" applyFont="1" applyFill="1"/>
    <xf numFmtId="9" fontId="26" fillId="16" borderId="0" xfId="0" applyNumberFormat="1" applyFont="1" applyFill="1"/>
    <xf numFmtId="165" fontId="26" fillId="16" borderId="0" xfId="0" applyNumberFormat="1" applyFont="1" applyFill="1"/>
    <xf numFmtId="165" fontId="26" fillId="16" borderId="0" xfId="1" applyNumberFormat="1" applyFont="1" applyFill="1"/>
    <xf numFmtId="0" fontId="28" fillId="16" borderId="1" xfId="0" applyFont="1" applyFill="1" applyBorder="1" applyAlignment="1">
      <alignment horizontal="right"/>
    </xf>
    <xf numFmtId="0" fontId="29" fillId="16" borderId="0" xfId="0" applyFont="1" applyFill="1"/>
    <xf numFmtId="165" fontId="29" fillId="16" borderId="0" xfId="1" applyNumberFormat="1" applyFont="1" applyFill="1" applyBorder="1"/>
    <xf numFmtId="14" fontId="26" fillId="16" borderId="0" xfId="0" applyNumberFormat="1" applyFont="1" applyFill="1"/>
    <xf numFmtId="0" fontId="28" fillId="16" borderId="2" xfId="0" applyFont="1" applyFill="1" applyBorder="1"/>
    <xf numFmtId="2" fontId="28" fillId="16" borderId="2" xfId="0" applyNumberFormat="1" applyFont="1" applyFill="1" applyBorder="1"/>
    <xf numFmtId="9" fontId="29" fillId="16" borderId="0" xfId="1" applyFont="1" applyFill="1"/>
    <xf numFmtId="0" fontId="28" fillId="16" borderId="4" xfId="0" applyFont="1" applyFill="1" applyBorder="1"/>
    <xf numFmtId="2" fontId="28" fillId="16" borderId="4" xfId="0" applyNumberFormat="1" applyFont="1" applyFill="1" applyBorder="1"/>
    <xf numFmtId="0" fontId="26" fillId="16" borderId="4" xfId="0" applyFont="1" applyFill="1" applyBorder="1"/>
    <xf numFmtId="2" fontId="2" fillId="0" borderId="0" xfId="0" applyNumberFormat="1" applyFont="1"/>
    <xf numFmtId="170" fontId="0" fillId="0" borderId="0" xfId="2" applyNumberFormat="1" applyFont="1" applyBorder="1"/>
    <xf numFmtId="0" fontId="19" fillId="0" borderId="1" xfId="0" applyFont="1" applyBorder="1"/>
    <xf numFmtId="0" fontId="19" fillId="0" borderId="20" xfId="0" applyFont="1" applyBorder="1"/>
    <xf numFmtId="0" fontId="19" fillId="0" borderId="21" xfId="0" applyFont="1" applyBorder="1"/>
    <xf numFmtId="0" fontId="19" fillId="0" borderId="22" xfId="0" applyFont="1" applyBorder="1"/>
    <xf numFmtId="0" fontId="0" fillId="0" borderId="23" xfId="0" applyBorder="1"/>
    <xf numFmtId="2" fontId="0" fillId="0" borderId="23" xfId="0" applyNumberFormat="1" applyBorder="1"/>
    <xf numFmtId="0" fontId="0" fillId="0" borderId="18" xfId="0" applyBorder="1"/>
    <xf numFmtId="0" fontId="0" fillId="0" borderId="19" xfId="0" applyBorder="1" applyAlignment="1">
      <alignment horizontal="right"/>
    </xf>
    <xf numFmtId="0" fontId="0" fillId="0" borderId="19" xfId="0" applyBorder="1"/>
    <xf numFmtId="0" fontId="1" fillId="0" borderId="26" xfId="0" applyFont="1" applyBorder="1"/>
    <xf numFmtId="0" fontId="1" fillId="0" borderId="27" xfId="0" applyFont="1" applyBorder="1"/>
    <xf numFmtId="0" fontId="0" fillId="0" borderId="28" xfId="0" applyBorder="1"/>
    <xf numFmtId="0" fontId="0" fillId="0" borderId="29" xfId="0" applyBorder="1" applyAlignment="1">
      <alignment horizontal="right"/>
    </xf>
    <xf numFmtId="0" fontId="0" fillId="0" borderId="30" xfId="0" applyBorder="1"/>
    <xf numFmtId="0" fontId="0" fillId="0" borderId="31" xfId="0" applyBorder="1"/>
    <xf numFmtId="0" fontId="1" fillId="0" borderId="28" xfId="0" applyFont="1" applyBorder="1"/>
    <xf numFmtId="0" fontId="0" fillId="0" borderId="29" xfId="0" applyBorder="1"/>
    <xf numFmtId="2" fontId="0" fillId="0" borderId="19" xfId="0" applyNumberFormat="1" applyBorder="1" applyAlignment="1">
      <alignment horizontal="right"/>
    </xf>
    <xf numFmtId="0" fontId="0" fillId="0" borderId="24" xfId="0" applyBorder="1"/>
    <xf numFmtId="2" fontId="0" fillId="0" borderId="25" xfId="0" applyNumberFormat="1" applyBorder="1"/>
    <xf numFmtId="0" fontId="0" fillId="0" borderId="12" xfId="0" applyBorder="1"/>
    <xf numFmtId="167" fontId="0" fillId="3" borderId="13" xfId="0" applyNumberFormat="1" applyFill="1" applyBorder="1" applyAlignment="1">
      <alignment horizontal="center"/>
    </xf>
    <xf numFmtId="167" fontId="0" fillId="3" borderId="14" xfId="0" applyNumberFormat="1" applyFill="1" applyBorder="1" applyAlignment="1">
      <alignment horizontal="center"/>
    </xf>
    <xf numFmtId="167" fontId="0" fillId="3" borderId="15" xfId="0" applyNumberFormat="1" applyFill="1" applyBorder="1" applyAlignment="1">
      <alignment horizontal="center"/>
    </xf>
    <xf numFmtId="170" fontId="19" fillId="0" borderId="0" xfId="2" applyNumberFormat="1" applyFont="1" applyBorder="1"/>
    <xf numFmtId="170" fontId="19" fillId="3" borderId="0" xfId="0" applyNumberFormat="1" applyFont="1" applyFill="1"/>
    <xf numFmtId="0" fontId="30" fillId="0" borderId="0" xfId="0" applyFont="1"/>
    <xf numFmtId="165" fontId="31" fillId="0" borderId="0" xfId="1" applyNumberFormat="1" applyFont="1"/>
    <xf numFmtId="0" fontId="31" fillId="0" borderId="0" xfId="0" applyFont="1" applyAlignment="1">
      <alignment horizontal="left" indent="2"/>
    </xf>
    <xf numFmtId="2" fontId="0" fillId="0" borderId="1" xfId="0" applyNumberFormat="1" applyBorder="1"/>
    <xf numFmtId="2" fontId="0" fillId="14" borderId="1" xfId="0" applyNumberFormat="1" applyFill="1" applyBorder="1"/>
    <xf numFmtId="0" fontId="1" fillId="0" borderId="9" xfId="0" applyFont="1" applyBorder="1"/>
    <xf numFmtId="2" fontId="1" fillId="0" borderId="9" xfId="0" applyNumberFormat="1" applyFont="1" applyBorder="1"/>
    <xf numFmtId="2" fontId="1" fillId="0" borderId="1" xfId="0" applyNumberFormat="1" applyFont="1" applyBorder="1"/>
    <xf numFmtId="9" fontId="6" fillId="0" borderId="0" xfId="1" applyFont="1" applyBorder="1"/>
    <xf numFmtId="0" fontId="1" fillId="0" borderId="4" xfId="0" applyFont="1" applyBorder="1"/>
    <xf numFmtId="9" fontId="0" fillId="0" borderId="9" xfId="0" applyNumberFormat="1" applyBorder="1"/>
    <xf numFmtId="0" fontId="32" fillId="0" borderId="1" xfId="0" applyFont="1" applyBorder="1"/>
    <xf numFmtId="17" fontId="19" fillId="0" borderId="1" xfId="0" applyNumberFormat="1" applyFont="1" applyBorder="1"/>
    <xf numFmtId="0" fontId="32" fillId="0" borderId="0" xfId="0" applyFont="1"/>
    <xf numFmtId="0" fontId="18" fillId="3" borderId="0" xfId="0" applyFont="1" applyFill="1"/>
    <xf numFmtId="0" fontId="0" fillId="0" borderId="9" xfId="0" applyBorder="1" applyAlignment="1">
      <alignment horizontal="right"/>
    </xf>
    <xf numFmtId="3" fontId="0" fillId="0" borderId="0" xfId="0" applyNumberFormat="1" applyAlignment="1">
      <alignment horizontal="right"/>
    </xf>
    <xf numFmtId="9" fontId="6" fillId="0" borderId="4" xfId="1" applyFont="1" applyBorder="1" applyAlignment="1">
      <alignment horizontal="right"/>
    </xf>
    <xf numFmtId="9" fontId="6" fillId="0" borderId="0" xfId="1" applyFont="1" applyAlignment="1">
      <alignment horizontal="right"/>
    </xf>
    <xf numFmtId="9" fontId="6" fillId="0" borderId="9" xfId="1" applyFont="1" applyBorder="1" applyAlignment="1">
      <alignment horizontal="right"/>
    </xf>
    <xf numFmtId="0" fontId="19" fillId="0" borderId="0" xfId="0" applyFont="1" applyAlignment="1">
      <alignment horizontal="right"/>
    </xf>
    <xf numFmtId="0" fontId="19" fillId="3" borderId="1" xfId="0" applyFont="1" applyFill="1" applyBorder="1"/>
    <xf numFmtId="0" fontId="19" fillId="3" borderId="1" xfId="0" applyFont="1" applyFill="1" applyBorder="1" applyAlignment="1">
      <alignment horizontal="right"/>
    </xf>
    <xf numFmtId="14" fontId="19" fillId="3" borderId="1" xfId="0" applyNumberFormat="1" applyFont="1" applyFill="1" applyBorder="1"/>
    <xf numFmtId="14" fontId="19" fillId="3" borderId="9" xfId="0" applyNumberFormat="1" applyFont="1" applyFill="1" applyBorder="1"/>
    <xf numFmtId="169" fontId="19" fillId="3" borderId="9" xfId="0" applyNumberFormat="1" applyFont="1" applyFill="1" applyBorder="1"/>
    <xf numFmtId="170" fontId="19" fillId="3" borderId="9" xfId="0" applyNumberFormat="1" applyFont="1" applyFill="1" applyBorder="1"/>
    <xf numFmtId="0" fontId="19" fillId="3" borderId="9" xfId="0" applyFont="1" applyFill="1" applyBorder="1"/>
    <xf numFmtId="2" fontId="19" fillId="3" borderId="9" xfId="0" applyNumberFormat="1" applyFont="1" applyFill="1" applyBorder="1"/>
    <xf numFmtId="0" fontId="19" fillId="3" borderId="4" xfId="0" applyFont="1" applyFill="1" applyBorder="1"/>
    <xf numFmtId="168" fontId="19" fillId="3" borderId="9" xfId="0" applyNumberFormat="1" applyFont="1" applyFill="1" applyBorder="1"/>
    <xf numFmtId="0" fontId="32" fillId="3" borderId="1" xfId="0" applyFont="1" applyFill="1" applyBorder="1"/>
    <xf numFmtId="0" fontId="19" fillId="0" borderId="2" xfId="0" applyFont="1" applyBorder="1"/>
    <xf numFmtId="0" fontId="33" fillId="3" borderId="0" xfId="0" applyFont="1" applyFill="1"/>
    <xf numFmtId="10" fontId="33" fillId="3" borderId="1" xfId="0" applyNumberFormat="1" applyFont="1" applyFill="1" applyBorder="1"/>
    <xf numFmtId="9" fontId="33" fillId="3" borderId="1" xfId="0" applyNumberFormat="1" applyFont="1" applyFill="1" applyBorder="1"/>
    <xf numFmtId="9" fontId="33" fillId="3" borderId="16" xfId="0" applyNumberFormat="1" applyFont="1" applyFill="1" applyBorder="1"/>
    <xf numFmtId="165" fontId="33" fillId="3" borderId="16" xfId="0" applyNumberFormat="1" applyFont="1" applyFill="1" applyBorder="1"/>
    <xf numFmtId="0" fontId="32" fillId="3" borderId="1" xfId="0" applyFont="1" applyFill="1" applyBorder="1" applyAlignment="1">
      <alignment horizontal="right"/>
    </xf>
    <xf numFmtId="0" fontId="34" fillId="15" borderId="0" xfId="0" applyFont="1" applyFill="1"/>
    <xf numFmtId="0" fontId="1" fillId="3" borderId="1" xfId="0" applyFont="1" applyFill="1" applyBorder="1" applyAlignment="1">
      <alignment horizontal="right"/>
    </xf>
    <xf numFmtId="165" fontId="19" fillId="3" borderId="4" xfId="0" applyNumberFormat="1" applyFont="1" applyFill="1" applyBorder="1"/>
    <xf numFmtId="168" fontId="19" fillId="7" borderId="11" xfId="0" applyNumberFormat="1" applyFont="1" applyFill="1" applyBorder="1"/>
    <xf numFmtId="10" fontId="19" fillId="7" borderId="11" xfId="0" applyNumberFormat="1" applyFont="1" applyFill="1" applyBorder="1"/>
    <xf numFmtId="170" fontId="19" fillId="3" borderId="9" xfId="0" applyNumberFormat="1" applyFont="1" applyFill="1" applyBorder="1" applyAlignment="1">
      <alignment horizontal="right"/>
    </xf>
    <xf numFmtId="0" fontId="0" fillId="3" borderId="10" xfId="0" applyFill="1" applyBorder="1"/>
    <xf numFmtId="10" fontId="0" fillId="7" borderId="11" xfId="1" applyNumberFormat="1" applyFont="1" applyFill="1" applyBorder="1"/>
    <xf numFmtId="0" fontId="1" fillId="7" borderId="1" xfId="0" applyFont="1" applyFill="1" applyBorder="1"/>
    <xf numFmtId="0" fontId="35" fillId="6" borderId="0" xfId="0" applyFont="1" applyFill="1"/>
    <xf numFmtId="0" fontId="19" fillId="0" borderId="9" xfId="0" applyFont="1" applyBorder="1"/>
    <xf numFmtId="2" fontId="19" fillId="0" borderId="9" xfId="0" applyNumberFormat="1" applyFont="1" applyBorder="1"/>
    <xf numFmtId="0" fontId="0" fillId="3" borderId="0" xfId="0" applyFill="1" applyAlignment="1">
      <alignment horizontal="left" indent="2"/>
    </xf>
    <xf numFmtId="0" fontId="0" fillId="3" borderId="2" xfId="0" applyFill="1" applyBorder="1" applyAlignment="1">
      <alignment horizontal="left"/>
    </xf>
    <xf numFmtId="9" fontId="0" fillId="3" borderId="0" xfId="1" applyFont="1" applyFill="1"/>
    <xf numFmtId="0" fontId="1" fillId="3" borderId="0" xfId="0" applyFont="1" applyFill="1" applyAlignment="1">
      <alignment horizontal="right"/>
    </xf>
    <xf numFmtId="0" fontId="33" fillId="3" borderId="1" xfId="0" applyFont="1" applyFill="1" applyBorder="1" applyAlignment="1">
      <alignment horizontal="center"/>
    </xf>
    <xf numFmtId="0" fontId="33" fillId="3" borderId="16" xfId="0" applyFont="1" applyFill="1" applyBorder="1" applyAlignment="1">
      <alignment horizontal="right" vertical="center" textRotation="90"/>
    </xf>
    <xf numFmtId="0" fontId="1" fillId="7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7" borderId="19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0" borderId="0" xfId="0" applyAlignment="1"/>
    <xf numFmtId="9" fontId="0" fillId="0" borderId="0" xfId="1" applyFont="1" applyAlignment="1">
      <alignment horizontal="center"/>
    </xf>
    <xf numFmtId="0" fontId="0" fillId="0" borderId="0" xfId="0" applyBorder="1" applyAlignment="1">
      <alignment horizontal="center" textRotation="90" wrapText="1"/>
    </xf>
  </cellXfs>
  <cellStyles count="3">
    <cellStyle name="Currency" xfId="2" builtinId="4"/>
    <cellStyle name="Normal" xfId="0" builtinId="0"/>
    <cellStyle name="Per cent" xfId="1" builtinId="5"/>
  </cellStyles>
  <dxfs count="0"/>
  <tableStyles count="0" defaultTableStyle="TableStyleMedium2" defaultPivotStyle="PivotStyleLight16"/>
  <colors>
    <mruColors>
      <color rgb="FF728692"/>
      <color rgb="FFABC7D8"/>
      <color rgb="FF44566D"/>
      <color rgb="FFFFFFBD"/>
      <color rgb="FF27343A"/>
      <color rgb="FFFFFF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/>
              <a:t>Enterprise Value Composition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6E-794D-BDA8-926FD5E26192}"/>
              </c:ext>
            </c:extLst>
          </c:dPt>
          <c:dPt>
            <c:idx val="1"/>
            <c:bubble3D val="0"/>
            <c:spPr>
              <a:solidFill>
                <a:srgbClr val="7286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9F6-CA40-AB72-9DBFFDC7FCDA}"/>
              </c:ext>
            </c:extLst>
          </c:dPt>
          <c:dPt>
            <c:idx val="2"/>
            <c:bubble3D val="0"/>
            <c:spPr>
              <a:solidFill>
                <a:srgbClr val="ABC7D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9F6-CA40-AB72-9DBFFDC7FC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APV!$B$70:$B$72</c:f>
              <c:strCache>
                <c:ptCount val="3"/>
                <c:pt idx="0">
                  <c:v>PV(FCF)</c:v>
                </c:pt>
                <c:pt idx="1">
                  <c:v>PV(TV)</c:v>
                </c:pt>
                <c:pt idx="2">
                  <c:v>PV(TS)</c:v>
                </c:pt>
              </c:strCache>
            </c:strRef>
          </c:cat>
          <c:val>
            <c:numRef>
              <c:f>APV!$D$70:$D$72</c:f>
              <c:numCache>
                <c:formatCode>0%</c:formatCode>
                <c:ptCount val="3"/>
                <c:pt idx="0">
                  <c:v>0.39623777418055289</c:v>
                </c:pt>
                <c:pt idx="1">
                  <c:v>0.49191080915772589</c:v>
                </c:pt>
                <c:pt idx="2">
                  <c:v>0.1118514166617212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F6-CA40-AB72-9DBFFDC7F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6350" cap="flat" cmpd="sng" algn="ctr">
      <a:noFill/>
      <a:round/>
    </a:ln>
    <a:effectLst/>
  </c:spPr>
  <c:txPr>
    <a:bodyPr/>
    <a:lstStyle/>
    <a:p>
      <a:pPr>
        <a:defRPr/>
      </a:pPr>
      <a:endParaRPr lang="en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/>
              <a:t>Free Cash Flow and Tax Shield Contributions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APV!$B$53</c:f>
              <c:strCache>
                <c:ptCount val="1"/>
                <c:pt idx="0">
                  <c:v>Free Cash Flow</c:v>
                </c:pt>
              </c:strCache>
            </c:strRef>
          </c:tx>
          <c:spPr>
            <a:solidFill>
              <a:srgbClr val="728692"/>
            </a:solidFill>
            <a:ln>
              <a:noFill/>
            </a:ln>
            <a:effectLst/>
          </c:spPr>
          <c:invertIfNegative val="0"/>
          <c:cat>
            <c:numRef>
              <c:f>APV!$H$23:$P$23</c:f>
              <c:numCache>
                <c:formatCode>General</c:formatCode>
                <c:ptCount val="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</c:numCache>
            </c:numRef>
          </c:cat>
          <c:val>
            <c:numRef>
              <c:f>APV!$H$53:$P$53</c:f>
              <c:numCache>
                <c:formatCode>0.00</c:formatCode>
                <c:ptCount val="9"/>
                <c:pt idx="0">
                  <c:v>7.375</c:v>
                </c:pt>
                <c:pt idx="1">
                  <c:v>9.9439999999999991</c:v>
                </c:pt>
                <c:pt idx="2">
                  <c:v>9.6340999999999983</c:v>
                </c:pt>
                <c:pt idx="3">
                  <c:v>10.744999999999999</c:v>
                </c:pt>
                <c:pt idx="4">
                  <c:v>11.837</c:v>
                </c:pt>
                <c:pt idx="5">
                  <c:v>12.842999999999998</c:v>
                </c:pt>
                <c:pt idx="6">
                  <c:v>13.93</c:v>
                </c:pt>
                <c:pt idx="7">
                  <c:v>15.095000000000002</c:v>
                </c:pt>
                <c:pt idx="8">
                  <c:v>16.231561629160179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A1-C047-BED5-FC5FA12C06B1}"/>
            </c:ext>
          </c:extLst>
        </c:ser>
        <c:ser>
          <c:idx val="1"/>
          <c:order val="1"/>
          <c:tx>
            <c:strRef>
              <c:f>APV!$B$64</c:f>
              <c:strCache>
                <c:ptCount val="1"/>
                <c:pt idx="0">
                  <c:v>Annual tax reduction</c:v>
                </c:pt>
              </c:strCache>
            </c:strRef>
          </c:tx>
          <c:spPr>
            <a:solidFill>
              <a:srgbClr val="ABC7D8"/>
            </a:solidFill>
            <a:ln>
              <a:noFill/>
            </a:ln>
            <a:effectLst/>
          </c:spPr>
          <c:invertIfNegative val="0"/>
          <c:cat>
            <c:numRef>
              <c:f>APV!$H$23:$P$23</c:f>
              <c:numCache>
                <c:formatCode>General</c:formatCode>
                <c:ptCount val="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</c:numCache>
            </c:numRef>
          </c:cat>
          <c:val>
            <c:numRef>
              <c:f>APV!$H$64:$P$64</c:f>
              <c:numCache>
                <c:formatCode>0.00</c:formatCode>
                <c:ptCount val="9"/>
                <c:pt idx="0">
                  <c:v>0.88249999999999984</c:v>
                </c:pt>
                <c:pt idx="1">
                  <c:v>1.6709000000000003</c:v>
                </c:pt>
                <c:pt idx="2">
                  <c:v>1.6616000000000004</c:v>
                </c:pt>
                <c:pt idx="3">
                  <c:v>1.5779999999999998</c:v>
                </c:pt>
                <c:pt idx="4">
                  <c:v>1.3859999999999999</c:v>
                </c:pt>
                <c:pt idx="5">
                  <c:v>1.149</c:v>
                </c:pt>
                <c:pt idx="6">
                  <c:v>0.873</c:v>
                </c:pt>
                <c:pt idx="7">
                  <c:v>0.624</c:v>
                </c:pt>
                <c:pt idx="8">
                  <c:v>0.65276639999999997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A1-C047-BED5-FC5FA12C0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00"/>
        <c:axId val="1683840064"/>
        <c:axId val="1683664720"/>
      </c:barChart>
      <c:catAx>
        <c:axId val="168384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O"/>
          </a:p>
        </c:txPr>
        <c:crossAx val="1683664720"/>
        <c:crosses val="autoZero"/>
        <c:auto val="1"/>
        <c:lblAlgn val="ctr"/>
        <c:lblOffset val="100"/>
        <c:noMultiLvlLbl val="0"/>
      </c:catAx>
      <c:valAx>
        <c:axId val="168366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Million USD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O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O"/>
          </a:p>
        </c:txPr>
        <c:crossAx val="1683840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Debt Structure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A2-1642-8A9E-99EB37FD987D}"/>
              </c:ext>
            </c:extLst>
          </c:dPt>
          <c:dPt>
            <c:idx val="1"/>
            <c:bubble3D val="0"/>
            <c:spPr>
              <a:solidFill>
                <a:srgbClr val="7286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790-0246-ACD3-DB9130D9AD23}"/>
              </c:ext>
            </c:extLst>
          </c:dPt>
          <c:dPt>
            <c:idx val="2"/>
            <c:bubble3D val="0"/>
            <c:spPr>
              <a:solidFill>
                <a:srgbClr val="ABC7D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790-0246-ACD3-DB9130D9AD2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A2-1642-8A9E-99EB37FD98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'Debt valuation'!$B$117:$B$120</c:f>
              <c:strCache>
                <c:ptCount val="4"/>
                <c:pt idx="0">
                  <c:v>Revolving debt facility</c:v>
                </c:pt>
                <c:pt idx="1">
                  <c:v>Senior term debt</c:v>
                </c:pt>
                <c:pt idx="2">
                  <c:v>Mezzanine financing</c:v>
                </c:pt>
                <c:pt idx="3">
                  <c:v>Subordinated vendor note</c:v>
                </c:pt>
              </c:strCache>
            </c:strRef>
          </c:cat>
          <c:val>
            <c:numRef>
              <c:f>'Debt valuation'!$D$117:$D$120</c:f>
              <c:numCache>
                <c:formatCode>0.0%</c:formatCode>
                <c:ptCount val="4"/>
                <c:pt idx="0">
                  <c:v>2.8253282366627885E-2</c:v>
                </c:pt>
                <c:pt idx="1">
                  <c:v>0.53182649160711315</c:v>
                </c:pt>
                <c:pt idx="2">
                  <c:v>0.2492936679408343</c:v>
                </c:pt>
                <c:pt idx="3">
                  <c:v>0.19062655808542464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90-0246-ACD3-DB9130D9A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IRR Comparison</a:t>
            </a:r>
            <a:r>
              <a:rPr lang="en-GB" baseline="0"/>
              <a:t> Across Debt Instruments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72869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CC4-2C4A-99D9-26AD1937BAB7}"/>
              </c:ext>
            </c:extLst>
          </c:dPt>
          <c:dPt>
            <c:idx val="2"/>
            <c:invertIfNegative val="0"/>
            <c:bubble3D val="0"/>
            <c:spPr>
              <a:solidFill>
                <a:srgbClr val="ABC7D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CC4-2C4A-99D9-26AD1937BAB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C4-2C4A-99D9-26AD1937BAB7}"/>
              </c:ext>
            </c:extLst>
          </c:dPt>
          <c:cat>
            <c:strRef>
              <c:f>('Debt valuation'!$B$22,'Debt valuation'!$B$54,'Debt valuation'!$B$72,'Debt valuation'!$B$108)</c:f>
              <c:strCache>
                <c:ptCount val="4"/>
                <c:pt idx="0">
                  <c:v>IRR Revolving Debt</c:v>
                </c:pt>
                <c:pt idx="1">
                  <c:v>IRR Senior Debt</c:v>
                </c:pt>
                <c:pt idx="2">
                  <c:v>IRR Mezzanine Debt</c:v>
                </c:pt>
                <c:pt idx="3">
                  <c:v>IRR Vendor Note</c:v>
                </c:pt>
              </c:strCache>
            </c:strRef>
          </c:cat>
          <c:val>
            <c:numRef>
              <c:f>('Debt valuation'!$C$22,'Debt valuation'!$C$54,'Debt valuation'!$C$72,'Debt valuation'!$C$108)</c:f>
              <c:numCache>
                <c:formatCode>0.00%</c:formatCode>
                <c:ptCount val="4"/>
                <c:pt idx="0">
                  <c:v>8.3976722252059099E-2</c:v>
                </c:pt>
                <c:pt idx="1">
                  <c:v>6.8433801455433541E-2</c:v>
                </c:pt>
                <c:pt idx="2">
                  <c:v>0.2926708436225649</c:v>
                </c:pt>
                <c:pt idx="3" formatCode="0.000%">
                  <c:v>7.7472697802035473E-2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C4-2C4A-99D9-26AD1937B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88477263"/>
        <c:axId val="1788449983"/>
      </c:barChart>
      <c:catAx>
        <c:axId val="17884772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O"/>
          </a:p>
        </c:txPr>
        <c:crossAx val="1788449983"/>
        <c:crosses val="autoZero"/>
        <c:auto val="1"/>
        <c:lblAlgn val="ctr"/>
        <c:lblOffset val="100"/>
        <c:noMultiLvlLbl val="0"/>
      </c:catAx>
      <c:valAx>
        <c:axId val="17884499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O"/>
          </a:p>
        </c:txPr>
        <c:crossAx val="17884772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Interest payment as % of FCF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'Debt valuation'!$B$150</c:f>
              <c:strCache>
                <c:ptCount val="1"/>
                <c:pt idx="0">
                  <c:v>Interest as % of FCF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BC7D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FA-0C47-939D-C4C9FEDFAB07}"/>
              </c:ext>
            </c:extLst>
          </c:dPt>
          <c:dPt>
            <c:idx val="1"/>
            <c:invertIfNegative val="0"/>
            <c:bubble3D val="0"/>
            <c:spPr>
              <a:solidFill>
                <a:srgbClr val="ABC7D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1FA-0C47-939D-C4C9FEDFAB07}"/>
              </c:ext>
            </c:extLst>
          </c:dPt>
          <c:dPt>
            <c:idx val="2"/>
            <c:invertIfNegative val="0"/>
            <c:bubble3D val="0"/>
            <c:spPr>
              <a:solidFill>
                <a:srgbClr val="ABC7D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1FA-0C47-939D-C4C9FEDFAB07}"/>
              </c:ext>
            </c:extLst>
          </c:dPt>
          <c:dPt>
            <c:idx val="3"/>
            <c:invertIfNegative val="0"/>
            <c:bubble3D val="0"/>
            <c:spPr>
              <a:solidFill>
                <a:srgbClr val="ABC7D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1FA-0C47-939D-C4C9FEDFAB07}"/>
              </c:ext>
            </c:extLst>
          </c:dPt>
          <c:dPt>
            <c:idx val="4"/>
            <c:invertIfNegative val="0"/>
            <c:bubble3D val="0"/>
            <c:spPr>
              <a:solidFill>
                <a:srgbClr val="ABC7D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1FA-0C47-939D-C4C9FEDFAB07}"/>
              </c:ext>
            </c:extLst>
          </c:dPt>
          <c:dPt>
            <c:idx val="5"/>
            <c:invertIfNegative val="0"/>
            <c:bubble3D val="0"/>
            <c:spPr>
              <a:solidFill>
                <a:srgbClr val="ABC7D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1FA-0C47-939D-C4C9FEDFAB07}"/>
              </c:ext>
            </c:extLst>
          </c:dPt>
          <c:dPt>
            <c:idx val="6"/>
            <c:invertIfNegative val="0"/>
            <c:bubble3D val="0"/>
            <c:spPr>
              <a:solidFill>
                <a:srgbClr val="ABC7D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FA-0C47-939D-C4C9FEDFAB07}"/>
              </c:ext>
            </c:extLst>
          </c:dPt>
          <c:dPt>
            <c:idx val="7"/>
            <c:invertIfNegative val="0"/>
            <c:bubble3D val="0"/>
            <c:spPr>
              <a:solidFill>
                <a:srgbClr val="72869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41FA-0C47-939D-C4C9FEDFAB07}"/>
              </c:ext>
            </c:extLst>
          </c:dPt>
          <c:dPt>
            <c:idx val="8"/>
            <c:invertIfNegative val="0"/>
            <c:bubble3D val="0"/>
            <c:spPr>
              <a:solidFill>
                <a:srgbClr val="ABC7D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1FA-0C47-939D-C4C9FEDFAB07}"/>
              </c:ext>
            </c:extLst>
          </c:dPt>
          <c:cat>
            <c:numRef>
              <c:f>'Debt valuation'!$C$142:$K$142</c:f>
              <c:numCache>
                <c:formatCode>General</c:formatCode>
                <c:ptCount val="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</c:numCache>
            </c:numRef>
          </c:cat>
          <c:val>
            <c:numRef>
              <c:f>'Debt valuation'!$C$150:$K$150</c:f>
              <c:numCache>
                <c:formatCode>0%</c:formatCode>
                <c:ptCount val="9"/>
                <c:pt idx="0">
                  <c:v>0.87099842033898311</c:v>
                </c:pt>
                <c:pt idx="1">
                  <c:v>0.70635490024135172</c:v>
                </c:pt>
                <c:pt idx="2">
                  <c:v>0.77076470540406838</c:v>
                </c:pt>
                <c:pt idx="3">
                  <c:v>0.79171733913448128</c:v>
                </c:pt>
                <c:pt idx="4">
                  <c:v>0.76455207903008937</c:v>
                </c:pt>
                <c:pt idx="5">
                  <c:v>0.74123452518314148</c:v>
                </c:pt>
                <c:pt idx="6">
                  <c:v>0.70120383693916011</c:v>
                </c:pt>
                <c:pt idx="7">
                  <c:v>1.1361245445511758</c:v>
                </c:pt>
                <c:pt idx="8">
                  <c:v>4.8827710981066377E-2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A-0C47-939D-C4C9FEDFA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-27"/>
        <c:axId val="1871807456"/>
        <c:axId val="1684255152"/>
      </c:barChart>
      <c:catAx>
        <c:axId val="187180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O"/>
          </a:p>
        </c:txPr>
        <c:crossAx val="1684255152"/>
        <c:crosses val="autoZero"/>
        <c:auto val="1"/>
        <c:lblAlgn val="ctr"/>
        <c:lblOffset val="100"/>
        <c:noMultiLvlLbl val="0"/>
      </c:catAx>
      <c:valAx>
        <c:axId val="168425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O"/>
          </a:p>
        </c:txPr>
        <c:crossAx val="1871807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/>
              <a:t>Peer Group EV/EBITDA Multiples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'Peer Group'!$B$141:$B$154</c:f>
              <c:strCache>
                <c:ptCount val="13"/>
                <c:pt idx="0">
                  <c:v>RELX PLC</c:v>
                </c:pt>
                <c:pt idx="1">
                  <c:v>Wolters Kluwer NV</c:v>
                </c:pt>
                <c:pt idx="2">
                  <c:v>Informa PLC</c:v>
                </c:pt>
                <c:pt idx="3">
                  <c:v>Pearson PLC</c:v>
                </c:pt>
                <c:pt idx="4">
                  <c:v>Universal Music Group NV</c:v>
                </c:pt>
                <c:pt idx="5">
                  <c:v>Publicis Groupe SA</c:v>
                </c:pt>
                <c:pt idx="6">
                  <c:v>WPP PLC</c:v>
                </c:pt>
                <c:pt idx="7">
                  <c:v>Vivendi SE</c:v>
                </c:pt>
                <c:pt idx="8">
                  <c:v>Elanders AB</c:v>
                </c:pt>
                <c:pt idx="9">
                  <c:v>Sanoma Oyj</c:v>
                </c:pt>
                <c:pt idx="10">
                  <c:v>Endava PLC</c:v>
                </c:pt>
                <c:pt idx="11">
                  <c:v>Arnoldo Mondadori Editore SpA</c:v>
                </c:pt>
                <c:pt idx="12">
                  <c:v>TX Group AG</c:v>
                </c:pt>
              </c:strCache>
            </c:strRef>
          </c:cat>
          <c:val>
            <c:numRef>
              <c:f>'Peer Group'!$H$141:$H$154</c:f>
              <c:numCache>
                <c:formatCode>0.0\x</c:formatCode>
                <c:ptCount val="13"/>
                <c:pt idx="0">
                  <c:v>18.623638888306175</c:v>
                </c:pt>
                <c:pt idx="1">
                  <c:v>19.547232231231465</c:v>
                </c:pt>
                <c:pt idx="2">
                  <c:v>13.111438951029406</c:v>
                </c:pt>
                <c:pt idx="3">
                  <c:v>9.1568669711464459</c:v>
                </c:pt>
                <c:pt idx="4">
                  <c:v>19.734996542423787</c:v>
                </c:pt>
                <c:pt idx="5">
                  <c:v>8.2061269696679737</c:v>
                </c:pt>
                <c:pt idx="6">
                  <c:v>5.8773468974340632</c:v>
                </c:pt>
                <c:pt idx="7">
                  <c:v>6.05353328499816</c:v>
                </c:pt>
                <c:pt idx="8">
                  <c:v>5.1006628717521583</c:v>
                </c:pt>
                <c:pt idx="9">
                  <c:v>5.6744383076178346</c:v>
                </c:pt>
                <c:pt idx="10">
                  <c:v>15.511787291231924</c:v>
                </c:pt>
                <c:pt idx="11">
                  <c:v>4.8917484697417146</c:v>
                </c:pt>
                <c:pt idx="12">
                  <c:v>5.1444991463772354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E6-C240-BFB5-F1DF204B9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-27"/>
        <c:axId val="1054561407"/>
        <c:axId val="1054510511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'Peer Group'!$I$141:$I$154</c:f>
              <c:numCache>
                <c:formatCode>0.0\x</c:formatCode>
                <c:ptCount val="13"/>
                <c:pt idx="0">
                  <c:v>10.510332063304487</c:v>
                </c:pt>
                <c:pt idx="1">
                  <c:v>10.510332063304487</c:v>
                </c:pt>
                <c:pt idx="2">
                  <c:v>10.510332063304487</c:v>
                </c:pt>
                <c:pt idx="3">
                  <c:v>10.510332063304487</c:v>
                </c:pt>
                <c:pt idx="4">
                  <c:v>10.510332063304487</c:v>
                </c:pt>
                <c:pt idx="5">
                  <c:v>10.510332063304487</c:v>
                </c:pt>
                <c:pt idx="6">
                  <c:v>10.510332063304487</c:v>
                </c:pt>
                <c:pt idx="7">
                  <c:v>10.510332063304487</c:v>
                </c:pt>
                <c:pt idx="8">
                  <c:v>10.510332063304487</c:v>
                </c:pt>
                <c:pt idx="9">
                  <c:v>10.510332063304487</c:v>
                </c:pt>
                <c:pt idx="10">
                  <c:v>10.510332063304487</c:v>
                </c:pt>
                <c:pt idx="11">
                  <c:v>10.510332063304487</c:v>
                </c:pt>
                <c:pt idx="12">
                  <c:v>10.510332063304487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E6-C240-BFB5-F1DF204B9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4561407"/>
        <c:axId val="1054510511"/>
      </c:lineChart>
      <c:catAx>
        <c:axId val="1054561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O"/>
          </a:p>
        </c:txPr>
        <c:crossAx val="1054510511"/>
        <c:crosses val="autoZero"/>
        <c:auto val="1"/>
        <c:lblAlgn val="ctr"/>
        <c:lblOffset val="100"/>
        <c:noMultiLvlLbl val="0"/>
      </c:catAx>
      <c:valAx>
        <c:axId val="1054510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\x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O"/>
          </a:p>
        </c:txPr>
        <c:crossAx val="10545614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Peer Group EV/EBIT Multiples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'Peer Group'!$B$141:$B$154</c:f>
              <c:strCache>
                <c:ptCount val="13"/>
                <c:pt idx="0">
                  <c:v>RELX PLC</c:v>
                </c:pt>
                <c:pt idx="1">
                  <c:v>Wolters Kluwer NV</c:v>
                </c:pt>
                <c:pt idx="2">
                  <c:v>Informa PLC</c:v>
                </c:pt>
                <c:pt idx="3">
                  <c:v>Pearson PLC</c:v>
                </c:pt>
                <c:pt idx="4">
                  <c:v>Universal Music Group NV</c:v>
                </c:pt>
                <c:pt idx="5">
                  <c:v>Publicis Groupe SA</c:v>
                </c:pt>
                <c:pt idx="6">
                  <c:v>WPP PLC</c:v>
                </c:pt>
                <c:pt idx="7">
                  <c:v>Vivendi SE</c:v>
                </c:pt>
                <c:pt idx="8">
                  <c:v>Elanders AB</c:v>
                </c:pt>
                <c:pt idx="9">
                  <c:v>Sanoma Oyj</c:v>
                </c:pt>
                <c:pt idx="10">
                  <c:v>Endava PLC</c:v>
                </c:pt>
                <c:pt idx="11">
                  <c:v>Arnoldo Mondadori Editore SpA</c:v>
                </c:pt>
                <c:pt idx="12">
                  <c:v>TX Group AG</c:v>
                </c:pt>
              </c:strCache>
            </c:strRef>
          </c:cat>
          <c:val>
            <c:numRef>
              <c:f>'Peer Group'!$J$141:$J$154</c:f>
              <c:numCache>
                <c:formatCode>0.0\x</c:formatCode>
                <c:ptCount val="13"/>
                <c:pt idx="0">
                  <c:v>21.760658408480207</c:v>
                </c:pt>
                <c:pt idx="1">
                  <c:v>23.499081557453415</c:v>
                </c:pt>
                <c:pt idx="2">
                  <c:v>14.427693999708788</c:v>
                </c:pt>
                <c:pt idx="3">
                  <c:v>12.495235933039094</c:v>
                </c:pt>
                <c:pt idx="4">
                  <c:v>24.200682693245408</c:v>
                </c:pt>
                <c:pt idx="5">
                  <c:v>10.535661769172441</c:v>
                </c:pt>
                <c:pt idx="6">
                  <c:v>7.2972998521045698</c:v>
                </c:pt>
                <c:pt idx="7">
                  <c:v>8.6692161559629639</c:v>
                </c:pt>
                <c:pt idx="8">
                  <c:v>11.582703173387399</c:v>
                </c:pt>
                <c:pt idx="9">
                  <c:v>13.248579874742509</c:v>
                </c:pt>
                <c:pt idx="10">
                  <c:v>20.515913498103696</c:v>
                </c:pt>
                <c:pt idx="11">
                  <c:v>7.6601307189542567</c:v>
                </c:pt>
                <c:pt idx="12">
                  <c:v>10.950847410287091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F8-A142-B0DB-40DE23D86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-27"/>
        <c:axId val="1364691760"/>
        <c:axId val="1364310128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'Peer Group'!$K$141:$K$154</c:f>
              <c:numCache>
                <c:formatCode>0.0\x</c:formatCode>
                <c:ptCount val="13"/>
                <c:pt idx="0">
                  <c:v>14.372592695741677</c:v>
                </c:pt>
                <c:pt idx="1">
                  <c:v>14.372592695741677</c:v>
                </c:pt>
                <c:pt idx="2">
                  <c:v>14.372592695741677</c:v>
                </c:pt>
                <c:pt idx="3">
                  <c:v>14.372592695741677</c:v>
                </c:pt>
                <c:pt idx="4">
                  <c:v>14.372592695741677</c:v>
                </c:pt>
                <c:pt idx="5">
                  <c:v>14.372592695741677</c:v>
                </c:pt>
                <c:pt idx="6">
                  <c:v>14.372592695741677</c:v>
                </c:pt>
                <c:pt idx="7">
                  <c:v>14.372592695741677</c:v>
                </c:pt>
                <c:pt idx="8">
                  <c:v>14.372592695741677</c:v>
                </c:pt>
                <c:pt idx="9">
                  <c:v>14.372592695741677</c:v>
                </c:pt>
                <c:pt idx="10">
                  <c:v>14.372592695741677</c:v>
                </c:pt>
                <c:pt idx="11">
                  <c:v>14.372592695741677</c:v>
                </c:pt>
                <c:pt idx="12">
                  <c:v>14.372592695741677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F8-A142-B0DB-40DE23D86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4691760"/>
        <c:axId val="1364310128"/>
      </c:lineChart>
      <c:catAx>
        <c:axId val="136469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O"/>
          </a:p>
        </c:txPr>
        <c:crossAx val="1364310128"/>
        <c:crosses val="autoZero"/>
        <c:auto val="1"/>
        <c:lblAlgn val="ctr"/>
        <c:lblOffset val="100"/>
        <c:noMultiLvlLbl val="0"/>
      </c:catAx>
      <c:valAx>
        <c:axId val="136431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\x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O"/>
          </a:p>
        </c:txPr>
        <c:crossAx val="1364691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O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latin typeface="Aptos Narrow" panose="020B0004020202020204" pitchFamily="34" charset="0"/>
                <a:ea typeface="Aptos Narrow" panose="020B0004020202020204" pitchFamily="34" charset="0"/>
                <a:cs typeface="Aptos Narrow" panose="020B0004020202020204" pitchFamily="34" charset="0"/>
              </a:defRPr>
            </a:pPr>
            <a:r>
              <a:rPr lang="en-GB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Aptos Narrow" panose="020B000402020202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APV method and EV to equity bridge</a:t>
            </a:r>
            <a:endParaRPr lang="en-GB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ptos Narrow" panose="020B0004020202020204" pitchFamily="34" charset="0"/>
            </a:endParaRPr>
          </a:p>
        </cx:rich>
      </cx:tx>
    </cx:title>
    <cx:plotArea>
      <cx:plotAreaRegion>
        <cx:series layoutId="waterfall" uniqueId="{1AA6935C-656E-314E-842A-4AEFE7A2A499}">
          <cx:dataPt idx="0">
            <cx:spPr>
              <a:solidFill>
                <a:srgbClr val="ABC7D8"/>
              </a:solidFill>
            </cx:spPr>
          </cx:dataPt>
          <cx:dataPt idx="1">
            <cx:spPr>
              <a:solidFill>
                <a:srgbClr val="ABC7D8"/>
              </a:solidFill>
            </cx:spPr>
          </cx:dataPt>
          <cx:dataPt idx="2">
            <cx:spPr>
              <a:solidFill>
                <a:srgbClr val="ABC7D8"/>
              </a:solidFill>
            </cx:spPr>
          </cx:dataPt>
          <cx:dataPt idx="3">
            <cx:spPr>
              <a:solidFill>
                <a:srgbClr val="728692"/>
              </a:solidFill>
            </cx:spPr>
          </cx:dataPt>
          <cx:dataPt idx="4">
            <cx:spPr>
              <a:solidFill>
                <a:srgbClr val="ABC7D8"/>
              </a:solidFill>
            </cx:spPr>
          </cx:dataPt>
          <cx:dataPt idx="5">
            <cx:spPr>
              <a:solidFill>
                <a:srgbClr val="728692"/>
              </a:solidFill>
            </cx:spPr>
          </cx:dataPt>
          <cx:dataLabels pos="outEnd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50" b="0"/>
                </a:pPr>
                <a:endParaRPr lang="en-GB" sz="105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ptos Narrow" panose="02110004020202020204"/>
                </a:endParaRPr>
              </a:p>
            </cx:txPr>
            <cx:visibility seriesName="0" categoryName="0" value="1"/>
            <cx:dataLabel idx="1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b="0"/>
                  </a:pPr>
                  <a:r>
                    <a:rPr lang="en-GB" sz="900" b="0" i="0" u="none" strike="noStrike" baseline="0">
                      <a:solidFill>
                        <a:sysClr val="windowText" lastClr="000000">
                          <a:lumMod val="65000"/>
                          <a:lumOff val="35000"/>
                        </a:sysClr>
                      </a:solidFill>
                      <a:latin typeface="Aptos Narrow" panose="02110004020202020204"/>
                    </a:rPr>
                    <a:t>64,60</a:t>
                  </a:r>
                </a:p>
              </cx:txPr>
              <cx:visibility seriesName="0" categoryName="0" value="1"/>
            </cx:dataLabel>
            <cx:dataLabel idx="2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b="0"/>
                  </a:pPr>
                  <a:r>
                    <a:rPr lang="en-GB" sz="900" b="0" i="0" u="none" strike="noStrike" baseline="0">
                      <a:solidFill>
                        <a:sysClr val="windowText" lastClr="000000">
                          <a:lumMod val="65000"/>
                          <a:lumOff val="35000"/>
                        </a:sysClr>
                      </a:solidFill>
                      <a:latin typeface="Aptos Narrow" panose="02110004020202020204"/>
                    </a:rPr>
                    <a:t>14,69</a:t>
                  </a:r>
                </a:p>
              </cx:txPr>
              <cx:visibility seriesName="0" categoryName="0" value="1"/>
            </cx:dataLabel>
          </cx:dataLabels>
          <cx:dataId val="0"/>
          <cx:layoutPr>
            <cx:subtotals>
              <cx:idx val="3"/>
              <cx:idx val="5"/>
            </cx:subtotals>
          </cx:layoutPr>
        </cx:series>
      </cx:plotAreaRegion>
      <cx:axis id="0">
        <cx:catScaling gapWidth="0.5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/>
            </a:pPr>
            <a:endParaRPr lang="en-GB" sz="105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ptos Narrow" panose="02110004020202020204"/>
            </a:endParaRPr>
          </a:p>
        </cx:txPr>
      </cx:axis>
      <cx:axis id="1">
        <cx:valScaling max="170"/>
        <cx:title>
          <cx:tx>
            <cx:txData>
              <cx:v>Million USD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 sz="1050"/>
              </a:pPr>
              <a:r>
                <a:rPr lang="en-GB" sz="105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ptos Narrow" panose="02110004020202020204"/>
                </a:rPr>
                <a:t>Million USD</a:t>
              </a:r>
            </a:p>
          </cx:txPr>
        </cx:title>
        <cx:majorGridlines/>
        <cx:tickLabels/>
        <cx:numFmt formatCode="# ##0" sourceLinked="0"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/>
            </a:pPr>
            <a:endParaRPr lang="en-GB" sz="105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ptos Narrow" panose="02110004020202020204"/>
            </a:endParaRPr>
          </a:p>
        </cx:txPr>
      </cx:axis>
    </cx:plotArea>
  </cx:chart>
  <cx:spPr>
    <a:ln w="6350"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</cx:f>
      </cx:strDim>
      <cx:numDim type="val">
        <cx:f>_xlchart.v1.5</cx:f>
      </cx:numDim>
    </cx:data>
  </cx:chartData>
  <cx:chart>
    <cx:plotArea>
      <cx:plotAreaRegion>
        <cx:series layoutId="waterfall" uniqueId="{1AA6935C-656E-314E-842A-4AEFE7A2A499}">
          <cx:dataPt idx="0">
            <cx:spPr>
              <a:solidFill>
                <a:srgbClr val="ABC7D8"/>
              </a:solidFill>
            </cx:spPr>
          </cx:dataPt>
          <cx:dataPt idx="1">
            <cx:spPr>
              <a:solidFill>
                <a:srgbClr val="ABC7D8"/>
              </a:solidFill>
            </cx:spPr>
          </cx:dataPt>
          <cx:dataPt idx="2">
            <cx:spPr>
              <a:solidFill>
                <a:srgbClr val="ABC7D8"/>
              </a:solidFill>
            </cx:spPr>
          </cx:dataPt>
          <cx:dataPt idx="3">
            <cx:spPr>
              <a:solidFill>
                <a:srgbClr val="728692"/>
              </a:solidFill>
            </cx:spPr>
          </cx:dataPt>
          <cx:dataPt idx="4">
            <cx:spPr>
              <a:solidFill>
                <a:srgbClr val="ABC7D8"/>
              </a:solidFill>
            </cx:spPr>
          </cx:dataPt>
          <cx:dataPt idx="5">
            <cx:spPr>
              <a:solidFill>
                <a:srgbClr val="728692"/>
              </a:solidFill>
            </cx:spPr>
          </cx:dataPt>
          <cx:dataLabels pos="outEnd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200" b="0"/>
                </a:pPr>
                <a:endParaRPr lang="en-GB" sz="12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ptos Narrow" panose="02110004020202020204"/>
                </a:endParaRPr>
              </a:p>
            </cx:txPr>
            <cx:visibility seriesName="0" categoryName="0" value="1"/>
            <cx:dataLabel idx="1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b="0"/>
                  </a:pPr>
                  <a:r>
                    <a:rPr lang="en-GB" sz="1200" b="0" i="0" u="none" strike="noStrike" baseline="0">
                      <a:solidFill>
                        <a:sysClr val="windowText" lastClr="000000">
                          <a:lumMod val="65000"/>
                          <a:lumOff val="35000"/>
                        </a:sysClr>
                      </a:solidFill>
                      <a:latin typeface="Aptos Narrow" panose="02110004020202020204"/>
                    </a:rPr>
                    <a:t>64,60</a:t>
                  </a:r>
                </a:p>
              </cx:txPr>
              <cx:visibility seriesName="0" categoryName="0" value="1"/>
            </cx:dataLabel>
            <cx:dataLabel idx="2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b="0"/>
                  </a:pPr>
                  <a:r>
                    <a:rPr lang="en-GB" sz="1200" b="0" i="0" u="none" strike="noStrike" baseline="0">
                      <a:solidFill>
                        <a:sysClr val="windowText" lastClr="000000">
                          <a:lumMod val="65000"/>
                          <a:lumOff val="35000"/>
                        </a:sysClr>
                      </a:solidFill>
                      <a:latin typeface="Aptos Narrow" panose="02110004020202020204"/>
                    </a:rPr>
                    <a:t>14,69</a:t>
                  </a:r>
                </a:p>
              </cx:txPr>
              <cx:visibility seriesName="0" categoryName="0" value="1"/>
            </cx:dataLabel>
          </cx:dataLabels>
          <cx:dataId val="0"/>
          <cx:layoutPr>
            <cx:subtotals>
              <cx:idx val="3"/>
              <cx:idx val="5"/>
            </cx:subtotals>
          </cx:layoutPr>
        </cx:series>
      </cx:plotAreaRegion>
      <cx:axis id="0">
        <cx:catScaling gapWidth="0.5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100"/>
            </a:pPr>
            <a:endParaRPr lang="en-GB" sz="11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ptos Narrow" panose="02110004020202020204"/>
            </a:endParaRPr>
          </a:p>
        </cx:txPr>
      </cx:axis>
      <cx:axis id="1">
        <cx:valScaling max="170"/>
        <cx:title>
          <cx:tx>
            <cx:txData>
              <cx:v>Million USD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 sz="1200"/>
              </a:pPr>
              <a:r>
                <a:rPr lang="en-GB" sz="12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ptos Narrow" panose="02110004020202020204"/>
                </a:rPr>
                <a:t>Million USD</a:t>
              </a:r>
            </a:p>
          </cx:txPr>
        </cx:title>
        <cx:majorGridlines/>
        <cx:tickLabels/>
        <cx:numFmt formatCode="# ##0" sourceLinked="0"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200"/>
            </a:pPr>
            <a:endParaRPr lang="en-GB" sz="12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ptos Narrow" panose="02110004020202020204"/>
            </a:endParaRPr>
          </a:p>
        </cx:txPr>
      </cx:axis>
    </cx:plotArea>
  </cx:chart>
  <cx:spPr>
    <a:noFill/>
    <a:ln w="6350"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Style="combo" dx="26" fmlaLink="$D$23" fmlaRange="$XFD$24:$XFD$25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microsoft.com/office/2014/relationships/chartEx" Target="../charts/chartEx1.xml"/><Relationship Id="rId4" Type="http://schemas.microsoft.com/office/2014/relationships/chartEx" Target="../charts/chartEx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567267</xdr:colOff>
      <xdr:row>13</xdr:row>
      <xdr:rowOff>160866</xdr:rowOff>
    </xdr:from>
    <xdr:to>
      <xdr:col>14</xdr:col>
      <xdr:colOff>452967</xdr:colOff>
      <xdr:row>32</xdr:row>
      <xdr:rowOff>144192</xdr:rowOff>
    </xdr:to>
    <xdr:pic>
      <xdr:nvPicPr>
        <xdr:cNvPr id="3" name="image1.png" descr="MediMedia's Competitors, Revenue, Number of Employees, Funding,  Acquisitions &amp; News - Owler Company Profil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529667" y="3225799"/>
          <a:ext cx="5168900" cy="3522393"/>
        </a:xfrm>
        <a:prstGeom prst="rect">
          <a:avLst/>
        </a:prstGeom>
        <a:noFill/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501161</xdr:colOff>
      <xdr:row>69</xdr:row>
      <xdr:rowOff>141</xdr:rowOff>
    </xdr:from>
    <xdr:to>
      <xdr:col>16</xdr:col>
      <xdr:colOff>85765</xdr:colOff>
      <xdr:row>81</xdr:row>
      <xdr:rowOff>144585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03261" y="13081141"/>
              <a:ext cx="8525404" cy="249394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isn’t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16</xdr:col>
      <xdr:colOff>254000</xdr:colOff>
      <xdr:row>68</xdr:row>
      <xdr:rowOff>25400</xdr:rowOff>
    </xdr:from>
    <xdr:to>
      <xdr:col>20</xdr:col>
      <xdr:colOff>520700</xdr:colOff>
      <xdr:row>82</xdr:row>
      <xdr:rowOff>25400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AE66A56-1D01-D164-D8F5-5BFA861F10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127000</xdr:colOff>
      <xdr:row>82</xdr:row>
      <xdr:rowOff>184150</xdr:rowOff>
    </xdr:from>
    <xdr:to>
      <xdr:col>4</xdr:col>
      <xdr:colOff>876300</xdr:colOff>
      <xdr:row>97</xdr:row>
      <xdr:rowOff>69850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5E33CFA-EFDE-34D2-BB53-DDF4FB5914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215901</xdr:colOff>
      <xdr:row>101</xdr:row>
      <xdr:rowOff>101600</xdr:rowOff>
    </xdr:from>
    <xdr:to>
      <xdr:col>15</xdr:col>
      <xdr:colOff>335472</xdr:colOff>
      <xdr:row>114</xdr:row>
      <xdr:rowOff>119044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C73C693D-C453-C04B-A0FC-82F49DBD82E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70995" y="19383235"/>
              <a:ext cx="6876930" cy="25095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isn’t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1219200</xdr:colOff>
          <xdr:row>22</xdr:row>
          <xdr:rowOff>25400</xdr:rowOff>
        </xdr:from>
        <xdr:to>
          <xdr:col>3</xdr:col>
          <xdr:colOff>787400</xdr:colOff>
          <xdr:row>23</xdr:row>
          <xdr:rowOff>38100</xdr:rowOff>
        </xdr:to>
        <xdr:sp macro="" textlink="">
          <xdr:nvSpPr>
            <xdr:cNvPr id="35848" name="Drop Down 8" hidden="1">
              <a:extLst>
                <a:ext uri="{63B3BB69-23CF-44E3-9099-C40C66FF867C}">
                  <a14:compatExt spid="_x0000_s35848"/>
                </a:ext>
                <a:ext uri="{FF2B5EF4-FFF2-40B4-BE49-F238E27FC236}">
                  <a16:creationId xmlns:a16="http://schemas.microsoft.com/office/drawing/2014/main" id="{00000000-0008-0000-0300-000008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667821</xdr:colOff>
      <xdr:row>3</xdr:row>
      <xdr:rowOff>26373</xdr:rowOff>
    </xdr:from>
    <xdr:to>
      <xdr:col>13</xdr:col>
      <xdr:colOff>410967</xdr:colOff>
      <xdr:row>17</xdr:row>
      <xdr:rowOff>140707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42225" y="497272"/>
          <a:ext cx="3390472" cy="27770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44451</xdr:colOff>
      <xdr:row>124</xdr:row>
      <xdr:rowOff>101600</xdr:rowOff>
    </xdr:from>
    <xdr:to>
      <xdr:col>2</xdr:col>
      <xdr:colOff>513708</xdr:colOff>
      <xdr:row>139</xdr:row>
      <xdr:rowOff>156966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A051B70-54C8-C798-2288-58B4E12272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539394</xdr:colOff>
      <xdr:row>124</xdr:row>
      <xdr:rowOff>155397</xdr:rowOff>
    </xdr:from>
    <xdr:to>
      <xdr:col>5</xdr:col>
      <xdr:colOff>1044540</xdr:colOff>
      <xdr:row>139</xdr:row>
      <xdr:rowOff>116012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9E0426E-6D42-07D9-915F-47E4624B1F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1301750</xdr:colOff>
      <xdr:row>124</xdr:row>
      <xdr:rowOff>177800</xdr:rowOff>
    </xdr:from>
    <xdr:to>
      <xdr:col>10</xdr:col>
      <xdr:colOff>6350</xdr:colOff>
      <xdr:row>139</xdr:row>
      <xdr:rowOff>63500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3795B04-6503-1AAD-633A-8A3FDD8DA1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9792</xdr:colOff>
      <xdr:row>169</xdr:row>
      <xdr:rowOff>110336</xdr:rowOff>
    </xdr:from>
    <xdr:to>
      <xdr:col>4</xdr:col>
      <xdr:colOff>357606</xdr:colOff>
      <xdr:row>183</xdr:row>
      <xdr:rowOff>119712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AAB75A-D5D3-6091-32FD-3DD79C2349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511957</xdr:colOff>
      <xdr:row>169</xdr:row>
      <xdr:rowOff>105003</xdr:rowOff>
    </xdr:from>
    <xdr:to>
      <xdr:col>5</xdr:col>
      <xdr:colOff>1996393</xdr:colOff>
      <xdr:row>184</xdr:row>
      <xdr:rowOff>30305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AB8A0B2-0D6B-015C-5BB9-31444DF313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101600</xdr:colOff>
      <xdr:row>9</xdr:row>
      <xdr:rowOff>0</xdr:rowOff>
    </xdr:from>
    <xdr:to>
      <xdr:col>7</xdr:col>
      <xdr:colOff>787400</xdr:colOff>
      <xdr:row>11</xdr:row>
      <xdr:rowOff>38100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10198100" y="1676400"/>
          <a:ext cx="685800" cy="444500"/>
        </a:xfrm>
        <a:prstGeom prst="rect">
          <a:avLst/>
        </a:prstGeom>
        <a:solidFill>
          <a:schemeClr val="tx2">
            <a:lumMod val="10000"/>
            <a:lumOff val="9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b="1"/>
            <a:t>Stock</a:t>
          </a:r>
          <a:r>
            <a:rPr lang="en-GB" sz="1100" b="1" baseline="0"/>
            <a:t> Price</a:t>
          </a:r>
        </a:p>
        <a:p>
          <a:pPr algn="ctr"/>
          <a:endParaRPr lang="en-GB" sz="1100"/>
        </a:p>
      </xdr:txBody>
    </xdr:sp>
    <xdr:clientData/>
  </xdr:twoCellAnchor>
  <xdr:twoCellAnchor>
    <xdr:from>
      <xdr:col>7</xdr:col>
      <xdr:colOff>101600</xdr:colOff>
      <xdr:row>9</xdr:row>
      <xdr:rowOff>0</xdr:rowOff>
    </xdr:from>
    <xdr:to>
      <xdr:col>7</xdr:col>
      <xdr:colOff>787400</xdr:colOff>
      <xdr:row>11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0198100" y="1676400"/>
          <a:ext cx="685800" cy="444500"/>
        </a:xfrm>
        <a:prstGeom prst="rect">
          <a:avLst/>
        </a:prstGeom>
        <a:solidFill>
          <a:schemeClr val="tx2">
            <a:lumMod val="10000"/>
            <a:lumOff val="9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b="1"/>
            <a:t>Stock</a:t>
          </a:r>
          <a:r>
            <a:rPr lang="en-GB" sz="1100" b="1" baseline="0"/>
            <a:t> Price</a:t>
          </a:r>
        </a:p>
        <a:p>
          <a:pPr algn="ctr"/>
          <a:endParaRPr lang="en-GB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414950</xdr:colOff>
      <xdr:row>2</xdr:row>
      <xdr:rowOff>125742</xdr:rowOff>
    </xdr:from>
    <xdr:to>
      <xdr:col>13</xdr:col>
      <xdr:colOff>553436</xdr:colOff>
      <xdr:row>32</xdr:row>
      <xdr:rowOff>113168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3C0ADC8-17D5-A949-1C6C-65B3DA7A5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4950" y="502970"/>
          <a:ext cx="10763734" cy="56458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60498-0035-4CC2-B071-1F56DA02FEBC}">
  <dimension ref="B13:V39"/>
  <sheetViews>
    <sheetView showGridLines="0" view="pageBreakPreview" zoomScale="75" zoomScaleNormal="100" workbookViewId="0">
      <selection activeCell="C40" sqref="C40"/>
    </sheetView>
  </sheetViews>
  <sheetFormatPr baseColWidth="10" defaultColWidth="8.6640625" defaultRowHeight="15"/>
  <sheetData>
    <row r="13" spans="2:22" ht="65">
      <c r="B13" s="142"/>
      <c r="C13" s="142"/>
      <c r="D13" s="142"/>
      <c r="E13" s="142"/>
      <c r="F13" s="166" t="s">
        <v>1336</v>
      </c>
      <c r="G13" s="166"/>
      <c r="H13" s="166"/>
      <c r="I13" s="166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</row>
    <row r="38" spans="3:3">
      <c r="C38" s="14" t="s">
        <v>1342</v>
      </c>
    </row>
    <row r="39" spans="3:3">
      <c r="C39" t="s">
        <v>1365</v>
      </c>
    </row>
  </sheetData>
  <pageMargins left="0.7" right="0.7" top="0.75" bottom="0.75" header="0.3" footer="0.3"/>
  <pageSetup paperSize="9" scale="4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6B3A3-404B-4F80-9979-B790E4BAD855}">
  <sheetPr>
    <tabColor theme="4"/>
  </sheetPr>
  <dimension ref="A1"/>
  <sheetViews>
    <sheetView showGridLines="0" view="pageBreakPreview" zoomScale="60" zoomScaleNormal="100" workbookViewId="0">
      <selection activeCell="I54" sqref="I54"/>
    </sheetView>
  </sheetViews>
  <sheetFormatPr baseColWidth="10" defaultColWidth="8.83203125"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1C5B2-5422-F54F-9E45-A4080C0FEF01}">
  <dimension ref="A1:Y99"/>
  <sheetViews>
    <sheetView showGridLines="0" topLeftCell="F98" zoomScale="159" zoomScaleNormal="100" workbookViewId="0">
      <selection activeCell="Q100" sqref="Q100"/>
    </sheetView>
  </sheetViews>
  <sheetFormatPr baseColWidth="10" defaultColWidth="8.6640625" defaultRowHeight="15"/>
  <cols>
    <col min="1" max="1" width="3.6640625" customWidth="1"/>
    <col min="2" max="2" width="29" bestFit="1" customWidth="1"/>
    <col min="3" max="3" width="12.5" customWidth="1"/>
    <col min="4" max="4" width="8.6640625" bestFit="1" customWidth="1"/>
    <col min="5" max="5" width="20.33203125" bestFit="1" customWidth="1"/>
    <col min="6" max="6" width="10.33203125" bestFit="1" customWidth="1"/>
    <col min="7" max="7" width="8.6640625" bestFit="1" customWidth="1"/>
    <col min="18" max="18" width="9.1640625" customWidth="1"/>
  </cols>
  <sheetData>
    <row r="1" spans="2:5" ht="5" customHeight="1"/>
    <row r="2" spans="2:5" s="4" customFormat="1" ht="19">
      <c r="B2" s="4" t="s">
        <v>1348</v>
      </c>
    </row>
    <row r="5" spans="2:5">
      <c r="B5" s="5" t="s">
        <v>1</v>
      </c>
      <c r="C5" s="3"/>
      <c r="E5" t="s">
        <v>2</v>
      </c>
    </row>
    <row r="6" spans="2:5" ht="14.5" customHeight="1">
      <c r="B6" t="s">
        <v>3</v>
      </c>
      <c r="C6" s="117">
        <f>'GDP Growth'!F275</f>
        <v>3.3296717921283261E-2</v>
      </c>
      <c r="E6" t="s">
        <v>4</v>
      </c>
    </row>
    <row r="7" spans="2:5" ht="14.5" customHeight="1">
      <c r="B7" t="s">
        <v>6</v>
      </c>
      <c r="C7" s="117">
        <v>3.8899999999999997E-2</v>
      </c>
      <c r="E7" t="s">
        <v>7</v>
      </c>
    </row>
    <row r="8" spans="2:5" ht="14.5" customHeight="1">
      <c r="B8" t="s">
        <v>9</v>
      </c>
      <c r="C8" s="117">
        <v>4.6100000000000002E-2</v>
      </c>
      <c r="E8" t="s">
        <v>10</v>
      </c>
    </row>
    <row r="9" spans="2:5" ht="14.5" customHeight="1"/>
    <row r="10" spans="2:5" ht="14.5" customHeight="1"/>
    <row r="11" spans="2:5" ht="14.5" customHeight="1">
      <c r="B11" s="5" t="s">
        <v>11</v>
      </c>
      <c r="C11" s="3"/>
    </row>
    <row r="12" spans="2:5" ht="14.5" customHeight="1">
      <c r="B12" t="s">
        <v>12</v>
      </c>
      <c r="C12" s="62">
        <f>'DCM rates'!C20</f>
        <v>7.9199999999999993E-2</v>
      </c>
      <c r="E12" t="s">
        <v>14</v>
      </c>
    </row>
    <row r="13" spans="2:5">
      <c r="B13" t="s">
        <v>15</v>
      </c>
      <c r="C13" s="71">
        <f>'P&amp;L'!C15/('P&amp;L'!C15+'P&amp;L'!C16)*C8+'P&amp;L'!C16/('P&amp;L'!C15+'P&amp;L'!C16)*C7</f>
        <v>4.4773684210526313E-2</v>
      </c>
      <c r="E13" t="s">
        <v>16</v>
      </c>
    </row>
    <row r="14" spans="2:5">
      <c r="B14" t="s">
        <v>17</v>
      </c>
      <c r="C14" s="61">
        <f>'Backup calcs'!C15</f>
        <v>0.96766521100867919</v>
      </c>
      <c r="E14" t="s">
        <v>18</v>
      </c>
    </row>
    <row r="15" spans="2:5">
      <c r="B15" t="s">
        <v>19</v>
      </c>
      <c r="C15" s="61">
        <f>C14+C20*(C14-C17)</f>
        <v>1.1054068692070873</v>
      </c>
    </row>
    <row r="16" spans="2:5">
      <c r="B16" t="s">
        <v>1375</v>
      </c>
      <c r="C16" s="71">
        <f>C12+C13*C15</f>
        <v>0.12869313808602467</v>
      </c>
      <c r="D16" s="36"/>
    </row>
    <row r="17" spans="2:16">
      <c r="B17" t="s">
        <v>21</v>
      </c>
      <c r="C17" s="61">
        <f>(1-C20)*('Peer Group'!O21-'Peer Group'!N21)</f>
        <v>9.0112091331843405E-2</v>
      </c>
      <c r="D17" s="37"/>
      <c r="E17" t="s">
        <v>18</v>
      </c>
      <c r="L17" s="24"/>
    </row>
    <row r="18" spans="2:16">
      <c r="B18" t="s">
        <v>22</v>
      </c>
      <c r="C18" s="71">
        <f>((LBO!C42*LBO!D42)+(LBO!C43*LBO!D43)+(LBO!C44*LBO!D44))/SUM(LBO!C42:C44)</f>
        <v>8.0436661535303766E-2</v>
      </c>
      <c r="E18" t="s">
        <v>23</v>
      </c>
      <c r="F18" s="36"/>
    </row>
    <row r="19" spans="2:16">
      <c r="B19" t="s">
        <v>24</v>
      </c>
      <c r="C19" s="62">
        <f>'Backup calcs'!C20</f>
        <v>0.13566666666666669</v>
      </c>
      <c r="E19" t="s">
        <v>25</v>
      </c>
    </row>
    <row r="20" spans="2:16">
      <c r="B20" t="s">
        <v>26</v>
      </c>
      <c r="C20" s="36">
        <f>C19/(1-C19)</f>
        <v>0.15696104897801777</v>
      </c>
      <c r="E20" t="s">
        <v>27</v>
      </c>
    </row>
    <row r="21" spans="2:16">
      <c r="B21" t="s">
        <v>28</v>
      </c>
      <c r="C21" s="28">
        <f>AVERAGE(H63:O63)</f>
        <v>0.29625000000000001</v>
      </c>
      <c r="E21" t="s">
        <v>29</v>
      </c>
    </row>
    <row r="22" spans="2:16">
      <c r="H22">
        <v>1</v>
      </c>
      <c r="I22">
        <v>2</v>
      </c>
      <c r="J22">
        <v>3</v>
      </c>
      <c r="K22">
        <v>4</v>
      </c>
      <c r="L22">
        <v>5</v>
      </c>
      <c r="M22">
        <v>6</v>
      </c>
      <c r="N22">
        <v>7</v>
      </c>
      <c r="O22">
        <v>8</v>
      </c>
      <c r="P22" s="41" t="s">
        <v>32</v>
      </c>
    </row>
    <row r="23" spans="2:16">
      <c r="B23" s="5" t="s">
        <v>1379</v>
      </c>
      <c r="C23" s="40">
        <v>1987</v>
      </c>
      <c r="D23" s="40" t="s">
        <v>31</v>
      </c>
      <c r="E23" s="40">
        <v>1988</v>
      </c>
      <c r="F23" s="40">
        <v>1989</v>
      </c>
      <c r="G23" s="40">
        <v>1990</v>
      </c>
      <c r="H23" s="39">
        <v>1991</v>
      </c>
      <c r="I23" s="39">
        <v>1992</v>
      </c>
      <c r="J23" s="39">
        <v>1993</v>
      </c>
      <c r="K23" s="39">
        <v>1994</v>
      </c>
      <c r="L23" s="39">
        <v>1995</v>
      </c>
      <c r="M23" s="39">
        <v>1996</v>
      </c>
      <c r="N23" s="39">
        <v>1997</v>
      </c>
      <c r="O23" s="39">
        <v>1998</v>
      </c>
      <c r="P23" s="39">
        <v>1999</v>
      </c>
    </row>
    <row r="24" spans="2:16">
      <c r="B24" t="s">
        <v>33</v>
      </c>
      <c r="C24" s="24">
        <f>'P&amp;L'!C6/1000</f>
        <v>89.387</v>
      </c>
      <c r="D24" s="24">
        <f>'P&amp;L'!D6/1000</f>
        <v>87.819000000000003</v>
      </c>
      <c r="E24" s="24"/>
      <c r="F24" s="24">
        <f>'P&amp;L'!E6/1000</f>
        <v>97.772000000000006</v>
      </c>
      <c r="G24" s="24">
        <f>'P&amp;L'!F6/1000</f>
        <v>110.89700000000001</v>
      </c>
      <c r="H24" s="116"/>
      <c r="I24" s="116"/>
      <c r="J24" s="116"/>
      <c r="K24" s="116"/>
      <c r="L24" s="116"/>
      <c r="M24" s="116"/>
      <c r="N24" s="116"/>
      <c r="O24" s="116"/>
      <c r="P24" s="116"/>
    </row>
    <row r="25" spans="2:16">
      <c r="B25" t="s">
        <v>34</v>
      </c>
      <c r="C25" s="24">
        <f>'P&amp;L'!C7/1000</f>
        <v>-76.873999999999995</v>
      </c>
      <c r="D25" s="24">
        <f>'P&amp;L'!D7/1000</f>
        <v>-77.665999999999997</v>
      </c>
      <c r="E25" s="24"/>
      <c r="F25" s="24">
        <f>'P&amp;L'!E7/1000</f>
        <v>-85.200999999999993</v>
      </c>
      <c r="G25" s="24">
        <f>'P&amp;L'!F7/1000</f>
        <v>-98.465999999999994</v>
      </c>
      <c r="H25" s="116"/>
      <c r="I25" s="116"/>
      <c r="J25" s="116"/>
      <c r="K25" s="116"/>
      <c r="L25" s="116"/>
      <c r="M25" s="116"/>
      <c r="N25" s="116"/>
      <c r="O25" s="116"/>
      <c r="P25" s="116"/>
    </row>
    <row r="26" spans="2:16">
      <c r="B26" t="s">
        <v>35</v>
      </c>
      <c r="C26" s="24">
        <f>'P&amp;L'!C8/1000</f>
        <v>12.513</v>
      </c>
      <c r="D26" s="24">
        <f>'P&amp;L'!D8/1000</f>
        <v>10.153</v>
      </c>
      <c r="E26" s="24"/>
      <c r="F26" s="24">
        <f>'P&amp;L'!E8/1000</f>
        <v>2.5209999999999999</v>
      </c>
      <c r="G26" s="24">
        <f>'P&amp;L'!F8/1000</f>
        <v>12.430999999999999</v>
      </c>
      <c r="H26" s="116"/>
      <c r="I26" s="116"/>
      <c r="J26" s="116"/>
      <c r="K26" s="116"/>
      <c r="L26" s="116"/>
      <c r="M26" s="116"/>
      <c r="N26" s="116"/>
      <c r="O26" s="116"/>
      <c r="P26" s="116"/>
    </row>
    <row r="27" spans="2:16">
      <c r="B27" t="s">
        <v>36</v>
      </c>
      <c r="C27" s="24">
        <f>'P&amp;L'!C9/1000</f>
        <v>-3.9529999999999998</v>
      </c>
      <c r="D27" s="24">
        <f>'P&amp;L'!D9/1000</f>
        <v>-2.5230000000000001</v>
      </c>
      <c r="E27" s="24"/>
      <c r="F27" s="24">
        <f>'P&amp;L'!E9/1000</f>
        <v>-2.984</v>
      </c>
      <c r="G27" s="24">
        <f>'P&amp;L'!F9/1000</f>
        <v>-3.5249999999999999</v>
      </c>
      <c r="H27" s="116"/>
      <c r="I27" s="116"/>
      <c r="J27" s="116"/>
      <c r="K27" s="116"/>
      <c r="L27" s="116"/>
      <c r="M27" s="116"/>
      <c r="N27" s="116"/>
      <c r="O27" s="116"/>
      <c r="P27" s="116"/>
    </row>
    <row r="28" spans="2:16">
      <c r="B28" t="s">
        <v>37</v>
      </c>
      <c r="C28" s="24">
        <f>'P&amp;L'!C10/1000</f>
        <v>8.56</v>
      </c>
      <c r="D28" s="24">
        <f>'P&amp;L'!D10/1000</f>
        <v>7.63</v>
      </c>
      <c r="E28" s="24"/>
      <c r="F28" s="24">
        <f>'P&amp;L'!E10/1000</f>
        <v>9.5370000000000008</v>
      </c>
      <c r="G28" s="24">
        <f>'P&amp;L'!F10/1000</f>
        <v>8.9060000000000006</v>
      </c>
      <c r="H28" s="116"/>
      <c r="I28" s="116"/>
      <c r="J28" s="116"/>
      <c r="K28" s="116"/>
      <c r="L28" s="116"/>
      <c r="M28" s="116"/>
      <c r="N28" s="116"/>
      <c r="O28" s="116"/>
      <c r="P28" s="116"/>
    </row>
    <row r="29" spans="2:16">
      <c r="B29" s="16" t="s">
        <v>38</v>
      </c>
      <c r="C29" s="112">
        <f>'P&amp;L'!C11/100</f>
        <v>0.14000000000000001</v>
      </c>
      <c r="D29" s="112">
        <f>'P&amp;L'!D11/100</f>
        <v>0.11599999999999999</v>
      </c>
      <c r="E29" s="113"/>
      <c r="F29" s="112">
        <f>'P&amp;L'!E11/100</f>
        <v>0.128</v>
      </c>
      <c r="G29" s="112">
        <f>'P&amp;L'!F11/100</f>
        <v>0.11199999999999999</v>
      </c>
      <c r="H29" s="116"/>
      <c r="I29" s="116"/>
      <c r="J29" s="116"/>
      <c r="K29" s="116"/>
      <c r="L29" s="116"/>
      <c r="M29" s="116"/>
      <c r="N29" s="116"/>
      <c r="O29" s="116"/>
      <c r="P29" s="116"/>
    </row>
    <row r="30" spans="2:16">
      <c r="B30" s="16" t="s">
        <v>39</v>
      </c>
      <c r="C30" s="112">
        <f>'P&amp;L'!C12/100</f>
        <v>9.6000000000000002E-2</v>
      </c>
      <c r="D30" s="112">
        <f>'P&amp;L'!D12/100</f>
        <v>8.6999999999999994E-2</v>
      </c>
      <c r="E30" s="113"/>
      <c r="F30" s="112">
        <f>'P&amp;L'!E12/100</f>
        <v>9.8000000000000004E-2</v>
      </c>
      <c r="G30" s="112">
        <f>'P&amp;L'!F12/100</f>
        <v>0.08</v>
      </c>
      <c r="H30" s="116"/>
      <c r="I30" s="116"/>
      <c r="J30" s="116"/>
      <c r="K30" s="116"/>
      <c r="L30" s="116"/>
      <c r="M30" s="116"/>
      <c r="N30" s="116"/>
      <c r="O30" s="116"/>
      <c r="P30" s="116"/>
    </row>
    <row r="31" spans="2:16"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2:16">
      <c r="B32" t="s">
        <v>40</v>
      </c>
      <c r="C32" s="24"/>
      <c r="D32" s="24"/>
      <c r="E32" s="24">
        <f t="shared" ref="E32:P32" si="0">E$33+E$39</f>
        <v>7.6</v>
      </c>
      <c r="F32" s="24">
        <f t="shared" si="0"/>
        <v>9.5</v>
      </c>
      <c r="G32" s="24">
        <f t="shared" si="0"/>
        <v>8.9</v>
      </c>
      <c r="H32" s="24">
        <f t="shared" si="0"/>
        <v>13.32</v>
      </c>
      <c r="I32" s="24">
        <f t="shared" si="0"/>
        <v>16.579999999999998</v>
      </c>
      <c r="J32" s="24">
        <f t="shared" si="0"/>
        <v>18.899999999999999</v>
      </c>
      <c r="K32" s="24">
        <f t="shared" si="0"/>
        <v>20.36</v>
      </c>
      <c r="L32" s="24">
        <f t="shared" si="0"/>
        <v>21.93</v>
      </c>
      <c r="M32" s="24">
        <f t="shared" si="0"/>
        <v>23.509999999999998</v>
      </c>
      <c r="N32" s="24">
        <f t="shared" si="0"/>
        <v>25.22</v>
      </c>
      <c r="O32" s="24">
        <f t="shared" si="0"/>
        <v>27.07</v>
      </c>
      <c r="P32" s="24">
        <f t="shared" si="0"/>
        <v>28.58742344034389</v>
      </c>
    </row>
    <row r="33" spans="2:25">
      <c r="B33" t="s">
        <v>41</v>
      </c>
      <c r="C33" s="24"/>
      <c r="D33" s="24"/>
      <c r="E33" s="24">
        <f>'Exhibit 7'!B10</f>
        <v>7.6</v>
      </c>
      <c r="F33" s="24">
        <f>'Exhibit 7'!C10</f>
        <v>9.5</v>
      </c>
      <c r="G33" s="24">
        <f>'Exhibit 7'!D10</f>
        <v>8.9</v>
      </c>
      <c r="H33" s="24">
        <f>'Exhibit 9'!B9</f>
        <v>11.42</v>
      </c>
      <c r="I33" s="24">
        <f>'Exhibit 9'!C9</f>
        <v>14.6</v>
      </c>
      <c r="J33" s="24">
        <f>'Exhibit 9'!D9</f>
        <v>16.89</v>
      </c>
      <c r="K33" s="24">
        <f>'Exhibit 9'!E9</f>
        <v>18.25</v>
      </c>
      <c r="L33" s="24">
        <f>'Exhibit 9'!F9</f>
        <v>19.71</v>
      </c>
      <c r="M33" s="24">
        <f>'Exhibit 9'!G9</f>
        <v>21.29</v>
      </c>
      <c r="N33" s="24">
        <f>'Exhibit 9'!H9</f>
        <v>23</v>
      </c>
      <c r="O33" s="24">
        <f>'Exhibit 9'!I9</f>
        <v>24.85</v>
      </c>
      <c r="P33" s="24">
        <f>O33*(1+C6)</f>
        <v>25.67742344034389</v>
      </c>
    </row>
    <row r="34" spans="2:25">
      <c r="B34" t="s">
        <v>42</v>
      </c>
      <c r="C34" s="24"/>
      <c r="D34" s="24"/>
      <c r="E34" s="116"/>
      <c r="F34" s="116"/>
      <c r="G34" s="116"/>
      <c r="H34" s="24">
        <f>'Exhibit 9'!B10</f>
        <v>-2.855</v>
      </c>
      <c r="I34" s="24">
        <f>'Exhibit 9'!C10</f>
        <v>-4.5259999999999998</v>
      </c>
      <c r="J34" s="24">
        <f>'Exhibit 9'!D10</f>
        <v>-5.2359</v>
      </c>
      <c r="K34" s="24">
        <f>'Exhibit 9'!E10</f>
        <v>-5.4749999999999996</v>
      </c>
      <c r="L34" s="24">
        <f>'Exhibit 9'!F10</f>
        <v>-5.9130000000000003</v>
      </c>
      <c r="M34" s="24">
        <f>'Exhibit 9'!G10</f>
        <v>-6.3869999999999996</v>
      </c>
      <c r="N34" s="24">
        <f>'Exhibit 9'!H10</f>
        <v>-6.8999999999999995</v>
      </c>
      <c r="O34" s="24">
        <f>'Exhibit 9'!I10</f>
        <v>-7.4550000000000001</v>
      </c>
      <c r="P34" s="24">
        <f>-P33*P35</f>
        <v>-7.7032270321031664</v>
      </c>
    </row>
    <row r="35" spans="2:25">
      <c r="B35" t="s">
        <v>28</v>
      </c>
      <c r="C35" s="24"/>
      <c r="D35" s="24"/>
      <c r="E35" s="116"/>
      <c r="F35" s="116"/>
      <c r="G35" s="116"/>
      <c r="H35" s="24">
        <f t="shared" ref="H35:O35" si="1">(H34/H33)*-1</f>
        <v>0.25</v>
      </c>
      <c r="I35" s="24">
        <f t="shared" si="1"/>
        <v>0.31</v>
      </c>
      <c r="J35" s="24">
        <f t="shared" si="1"/>
        <v>0.31</v>
      </c>
      <c r="K35" s="24">
        <f t="shared" si="1"/>
        <v>0.3</v>
      </c>
      <c r="L35" s="24">
        <f t="shared" si="1"/>
        <v>0.3</v>
      </c>
      <c r="M35" s="24">
        <f t="shared" si="1"/>
        <v>0.3</v>
      </c>
      <c r="N35" s="24">
        <f t="shared" si="1"/>
        <v>0.3</v>
      </c>
      <c r="O35" s="24">
        <f t="shared" si="1"/>
        <v>0.3</v>
      </c>
      <c r="P35" s="24">
        <f>O35</f>
        <v>0.3</v>
      </c>
    </row>
    <row r="36" spans="2:25">
      <c r="B36" t="s">
        <v>43</v>
      </c>
      <c r="C36" s="24"/>
      <c r="D36" s="24"/>
      <c r="E36" s="116"/>
      <c r="F36" s="116"/>
      <c r="G36" s="116"/>
      <c r="H36" s="24">
        <f>'Exhibit 9'!B11</f>
        <v>8.5649999999999995</v>
      </c>
      <c r="I36" s="24">
        <f>'Exhibit 9'!C11</f>
        <v>10.074</v>
      </c>
      <c r="J36" s="24">
        <f>'Exhibit 9'!D11</f>
        <v>11.6541</v>
      </c>
      <c r="K36" s="24">
        <f>'Exhibit 9'!E11</f>
        <v>12.775</v>
      </c>
      <c r="L36" s="24">
        <f>'Exhibit 9'!F11</f>
        <v>13.797000000000001</v>
      </c>
      <c r="M36" s="24">
        <f>'Exhibit 9'!G11</f>
        <v>14.902999999999999</v>
      </c>
      <c r="N36" s="24">
        <f>'Exhibit 9'!H11</f>
        <v>16.100000000000001</v>
      </c>
      <c r="O36" s="24">
        <f>'Exhibit 9'!I11</f>
        <v>17.395000000000003</v>
      </c>
      <c r="P36" s="24">
        <f>P33+P34</f>
        <v>17.974196408240722</v>
      </c>
    </row>
    <row r="37" spans="2:25"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2:25">
      <c r="B38" s="207" t="s">
        <v>44</v>
      </c>
      <c r="C38" s="236"/>
      <c r="D38" s="236"/>
      <c r="E38" s="237"/>
      <c r="F38" s="237"/>
      <c r="G38" s="237"/>
      <c r="H38" s="236"/>
      <c r="I38" s="236"/>
      <c r="J38" s="236"/>
      <c r="K38" s="236"/>
      <c r="L38" s="236"/>
      <c r="M38" s="236"/>
      <c r="N38" s="236"/>
      <c r="O38" s="236"/>
      <c r="P38" s="236"/>
    </row>
    <row r="39" spans="2:25">
      <c r="B39" t="s">
        <v>45</v>
      </c>
      <c r="C39" s="24"/>
      <c r="D39" s="24"/>
      <c r="E39" s="116"/>
      <c r="F39" s="116"/>
      <c r="G39" s="116"/>
      <c r="H39" s="24">
        <f>'Exhibit 9'!B14</f>
        <v>1.9</v>
      </c>
      <c r="I39" s="24">
        <f>'Exhibit 9'!C14</f>
        <v>1.98</v>
      </c>
      <c r="J39" s="24">
        <f>'Exhibit 9'!D14</f>
        <v>2.0099999999999998</v>
      </c>
      <c r="K39" s="24">
        <f>'Exhibit 9'!E14</f>
        <v>2.11</v>
      </c>
      <c r="L39" s="24">
        <f>'Exhibit 9'!F14</f>
        <v>2.2200000000000002</v>
      </c>
      <c r="M39" s="24">
        <f>'Exhibit 9'!G14</f>
        <v>2.2200000000000002</v>
      </c>
      <c r="N39" s="24">
        <f>'Exhibit 9'!H14</f>
        <v>2.2200000000000002</v>
      </c>
      <c r="O39" s="24">
        <f>'Exhibit 9'!I14</f>
        <v>2.2200000000000002</v>
      </c>
      <c r="P39" s="24">
        <f>-O41</f>
        <v>2.91</v>
      </c>
    </row>
    <row r="40" spans="2:25">
      <c r="B40" t="s">
        <v>46</v>
      </c>
      <c r="C40" s="24"/>
      <c r="D40" s="24"/>
      <c r="E40" s="116"/>
      <c r="F40" s="116"/>
      <c r="G40" s="116"/>
      <c r="H40" s="24">
        <f>'Exhibit 9'!B15</f>
        <v>-0.25</v>
      </c>
      <c r="I40" s="24">
        <f>'Exhibit 9'!C15</f>
        <v>-0.19</v>
      </c>
      <c r="J40" s="24">
        <f>'Exhibit 9'!D15</f>
        <v>-0.2</v>
      </c>
      <c r="K40" s="24">
        <f>'Exhibit 9'!E15</f>
        <v>-0.2</v>
      </c>
      <c r="L40" s="24">
        <f>'Exhibit 9'!F15</f>
        <v>0</v>
      </c>
      <c r="M40" s="24">
        <f>'Exhibit 9'!G15</f>
        <v>0</v>
      </c>
      <c r="N40" s="24">
        <f>'Exhibit 9'!H15</f>
        <v>0</v>
      </c>
      <c r="O40" s="24">
        <f>'Exhibit 9'!I15</f>
        <v>0</v>
      </c>
      <c r="P40" s="24">
        <f>O40</f>
        <v>0</v>
      </c>
    </row>
    <row r="41" spans="2:25">
      <c r="B41" t="s">
        <v>47</v>
      </c>
      <c r="C41" s="24"/>
      <c r="D41" s="24"/>
      <c r="E41" s="116"/>
      <c r="F41" s="116"/>
      <c r="G41" s="116"/>
      <c r="H41" s="24">
        <f>'Exhibit 9'!B16</f>
        <v>-2.69</v>
      </c>
      <c r="I41" s="24">
        <f>'Exhibit 9'!C16</f>
        <v>-1.4</v>
      </c>
      <c r="J41" s="24">
        <f>'Exhibit 9'!D16</f>
        <v>-2.64</v>
      </c>
      <c r="K41" s="24">
        <f>'Exhibit 9'!E16</f>
        <v>-2.77</v>
      </c>
      <c r="L41" s="24">
        <f>'Exhibit 9'!F16</f>
        <v>-2.91</v>
      </c>
      <c r="M41" s="24">
        <f>'Exhibit 9'!G16</f>
        <v>-2.91</v>
      </c>
      <c r="N41" s="24">
        <f>'Exhibit 9'!H16</f>
        <v>-2.91</v>
      </c>
      <c r="O41" s="24">
        <f>'Exhibit 9'!I16</f>
        <v>-2.91</v>
      </c>
      <c r="P41" s="24">
        <f>O41</f>
        <v>-2.91</v>
      </c>
    </row>
    <row r="42" spans="2:25">
      <c r="B42" t="s">
        <v>50</v>
      </c>
      <c r="C42" s="24"/>
      <c r="D42" s="24"/>
      <c r="E42" s="116"/>
      <c r="F42" s="116"/>
      <c r="G42" s="116"/>
      <c r="H42" s="24">
        <f>'Exhibit 9'!B17</f>
        <v>-0.02</v>
      </c>
      <c r="I42" s="24">
        <f>'Exhibit 9'!C17</f>
        <v>-2.2400000000000002</v>
      </c>
      <c r="J42" s="24">
        <f>'Exhibit 9'!D17</f>
        <v>-2.73</v>
      </c>
      <c r="K42" s="24">
        <f>'Exhibit 9'!E17</f>
        <v>-2.95</v>
      </c>
      <c r="L42" s="24">
        <f>'Exhibit 9'!F17</f>
        <v>-3.19</v>
      </c>
      <c r="M42" s="24">
        <f>'Exhibit 9'!G17</f>
        <v>-3.44</v>
      </c>
      <c r="N42" s="24">
        <f>'Exhibit 9'!H17</f>
        <v>-3.72</v>
      </c>
      <c r="O42" s="24">
        <f>'Exhibit 9'!I17</f>
        <v>-4.0199999999999996</v>
      </c>
      <c r="P42" s="24">
        <f>O42*(1+P43)</f>
        <v>-4.3421499575520839</v>
      </c>
    </row>
    <row r="43" spans="2:25">
      <c r="B43" s="235" t="s">
        <v>1372</v>
      </c>
      <c r="C43" s="24"/>
      <c r="D43" s="24"/>
      <c r="E43" s="116"/>
      <c r="F43" s="116"/>
      <c r="G43" s="116"/>
      <c r="H43" s="24"/>
      <c r="I43" s="44"/>
      <c r="J43" s="234">
        <f t="shared" ref="J43:O43" si="2">J42/I42-1</f>
        <v>0.21874999999999978</v>
      </c>
      <c r="K43" s="234">
        <f t="shared" si="2"/>
        <v>8.0586080586080744E-2</v>
      </c>
      <c r="L43" s="234">
        <f t="shared" si="2"/>
        <v>8.1355932203389658E-2</v>
      </c>
      <c r="M43" s="234">
        <f t="shared" si="2"/>
        <v>7.8369905956112929E-2</v>
      </c>
      <c r="N43" s="234">
        <f t="shared" si="2"/>
        <v>8.1395348837209447E-2</v>
      </c>
      <c r="O43" s="234">
        <f t="shared" si="2"/>
        <v>8.0645161290322509E-2</v>
      </c>
      <c r="P43" s="234">
        <f>AVERAGE(M43:O43)</f>
        <v>8.0136805361214966E-2</v>
      </c>
      <c r="Q43" s="234"/>
      <c r="S43" s="44"/>
      <c r="T43" s="44"/>
      <c r="U43" s="44"/>
      <c r="V43" s="44"/>
      <c r="W43" s="44"/>
      <c r="X43" s="44"/>
      <c r="Y43" s="44"/>
    </row>
    <row r="44" spans="2:25">
      <c r="B44" t="s">
        <v>51</v>
      </c>
      <c r="C44" s="24"/>
      <c r="D44" s="24"/>
      <c r="E44" s="116"/>
      <c r="F44" s="116"/>
      <c r="G44" s="116"/>
      <c r="H44" s="24">
        <f>'Exhibit 9'!B18</f>
        <v>0.17</v>
      </c>
      <c r="I44" s="24">
        <f>'Exhibit 9'!C18</f>
        <v>-0.23</v>
      </c>
      <c r="J44" s="24">
        <f>'Exhibit 9'!D18</f>
        <v>-0.32</v>
      </c>
      <c r="K44" s="24">
        <f>'Exhibit 9'!E18</f>
        <v>-0.4</v>
      </c>
      <c r="L44" s="24">
        <f>'Exhibit 9'!F18</f>
        <v>-0.43</v>
      </c>
      <c r="M44" s="24">
        <f>'Exhibit 9'!G18</f>
        <v>-0.46</v>
      </c>
      <c r="N44" s="24">
        <f>'Exhibit 9'!H18</f>
        <v>-0.5</v>
      </c>
      <c r="O44" s="24">
        <f>'Exhibit 9'!I18</f>
        <v>-0.54</v>
      </c>
      <c r="P44" s="24">
        <f>O44*(1+P45)</f>
        <v>-0.58261031344792735</v>
      </c>
      <c r="Q44" s="234"/>
    </row>
    <row r="45" spans="2:25">
      <c r="B45" s="235" t="s">
        <v>1372</v>
      </c>
      <c r="C45" s="24"/>
      <c r="D45" s="24"/>
      <c r="E45" s="116"/>
      <c r="F45" s="116"/>
      <c r="G45" s="116"/>
      <c r="H45" s="24"/>
      <c r="I45" s="24"/>
      <c r="J45" s="234">
        <f t="shared" ref="J45:O45" si="3">J44/I44-1</f>
        <v>0.39130434782608692</v>
      </c>
      <c r="K45" s="234">
        <f t="shared" si="3"/>
        <v>0.25</v>
      </c>
      <c r="L45" s="234">
        <f t="shared" si="3"/>
        <v>7.4999999999999956E-2</v>
      </c>
      <c r="M45" s="234">
        <f t="shared" si="3"/>
        <v>6.976744186046524E-2</v>
      </c>
      <c r="N45" s="234">
        <f t="shared" si="3"/>
        <v>8.6956521739130377E-2</v>
      </c>
      <c r="O45" s="234">
        <f t="shared" si="3"/>
        <v>8.0000000000000071E-2</v>
      </c>
      <c r="P45" s="234">
        <f>AVERAGE(M45:O45)</f>
        <v>7.8907987866531901E-2</v>
      </c>
      <c r="Q45" s="234"/>
      <c r="S45" s="44"/>
      <c r="T45" s="44"/>
      <c r="U45" s="44"/>
      <c r="V45" s="44"/>
      <c r="W45" s="44"/>
      <c r="X45" s="44"/>
      <c r="Y45" s="44"/>
    </row>
    <row r="46" spans="2:25">
      <c r="B46" t="s">
        <v>52</v>
      </c>
      <c r="C46" s="24"/>
      <c r="D46" s="24"/>
      <c r="E46" s="116"/>
      <c r="F46" s="116"/>
      <c r="G46" s="116"/>
      <c r="H46" s="24">
        <f>'Exhibit 9'!B19</f>
        <v>0.4</v>
      </c>
      <c r="I46" s="24">
        <f>'Exhibit 9'!C19</f>
        <v>-0.12</v>
      </c>
      <c r="J46" s="24">
        <f>'Exhibit 9'!D19</f>
        <v>-0.14000000000000001</v>
      </c>
      <c r="K46" s="24">
        <f>'Exhibit 9'!E19</f>
        <v>-0.15</v>
      </c>
      <c r="L46" s="24">
        <f>'Exhibit 9'!F19</f>
        <v>-0.16</v>
      </c>
      <c r="M46" s="24">
        <f>'Exhibit 9'!G19</f>
        <v>-0.18</v>
      </c>
      <c r="N46" s="24">
        <f>'Exhibit 9'!H19</f>
        <v>-0.19</v>
      </c>
      <c r="O46" s="24">
        <f>'Exhibit 9'!I19</f>
        <v>-0.21</v>
      </c>
      <c r="P46" s="24">
        <f>O46*(1+P47)</f>
        <v>-0.23000730994152047</v>
      </c>
      <c r="Q46" s="234"/>
    </row>
    <row r="47" spans="2:25">
      <c r="B47" s="235" t="s">
        <v>1372</v>
      </c>
      <c r="C47" s="24"/>
      <c r="D47" s="24"/>
      <c r="E47" s="116"/>
      <c r="F47" s="116"/>
      <c r="G47" s="116"/>
      <c r="H47" s="24"/>
      <c r="I47" s="24"/>
      <c r="J47" s="234">
        <f t="shared" ref="J47:O47" si="4">J46/I46-1</f>
        <v>0.16666666666666674</v>
      </c>
      <c r="K47" s="234">
        <f t="shared" si="4"/>
        <v>7.1428571428571397E-2</v>
      </c>
      <c r="L47" s="234">
        <f t="shared" si="4"/>
        <v>6.6666666666666652E-2</v>
      </c>
      <c r="M47" s="234">
        <f t="shared" si="4"/>
        <v>0.125</v>
      </c>
      <c r="N47" s="234">
        <f t="shared" si="4"/>
        <v>5.555555555555558E-2</v>
      </c>
      <c r="O47" s="234">
        <f t="shared" si="4"/>
        <v>0.10526315789473673</v>
      </c>
      <c r="P47" s="234">
        <f>AVERAGE(M47:O47)</f>
        <v>9.5272904483430773E-2</v>
      </c>
      <c r="Q47" s="234"/>
      <c r="S47" s="44"/>
      <c r="T47" s="44"/>
      <c r="U47" s="44"/>
      <c r="V47" s="44"/>
      <c r="W47" s="44"/>
      <c r="X47" s="44"/>
      <c r="Y47" s="44"/>
    </row>
    <row r="48" spans="2:25">
      <c r="B48" t="s">
        <v>53</v>
      </c>
      <c r="C48" s="24"/>
      <c r="D48" s="24"/>
      <c r="E48" s="116"/>
      <c r="F48" s="116"/>
      <c r="G48" s="116"/>
      <c r="H48" s="24">
        <f>'Exhibit 9'!B20</f>
        <v>0.18</v>
      </c>
      <c r="I48" s="24">
        <f>'Exhibit 9'!C20</f>
        <v>0.8</v>
      </c>
      <c r="J48" s="24">
        <f>'Exhibit 9'!D20</f>
        <v>1.1499999999999999</v>
      </c>
      <c r="K48" s="24">
        <f>'Exhibit 9'!E20</f>
        <v>1.41</v>
      </c>
      <c r="L48" s="24">
        <f>'Exhibit 9'!F20</f>
        <v>1.52</v>
      </c>
      <c r="M48" s="24">
        <f>'Exhibit 9'!G20</f>
        <v>1.64</v>
      </c>
      <c r="N48" s="24">
        <f>'Exhibit 9'!H20</f>
        <v>1.77</v>
      </c>
      <c r="O48" s="24">
        <f>'Exhibit 9'!I20</f>
        <v>1.91</v>
      </c>
      <c r="P48" s="24">
        <f>O48*(1+P49)</f>
        <v>2.0610884530120948</v>
      </c>
      <c r="Q48" s="234"/>
    </row>
    <row r="49" spans="2:25">
      <c r="B49" s="235" t="s">
        <v>1372</v>
      </c>
      <c r="C49" s="24"/>
      <c r="D49" s="24"/>
      <c r="E49" s="116"/>
      <c r="F49" s="116"/>
      <c r="G49" s="116"/>
      <c r="H49" s="24"/>
      <c r="I49" s="24"/>
      <c r="J49" s="234">
        <f t="shared" ref="J49:O49" si="5">J48/I48-1</f>
        <v>0.43749999999999978</v>
      </c>
      <c r="K49" s="234">
        <f t="shared" si="5"/>
        <v>0.22608695652173916</v>
      </c>
      <c r="L49" s="234">
        <f t="shared" si="5"/>
        <v>7.8014184397163122E-2</v>
      </c>
      <c r="M49" s="234">
        <f t="shared" si="5"/>
        <v>7.8947368421052655E-2</v>
      </c>
      <c r="N49" s="234">
        <f t="shared" si="5"/>
        <v>7.92682926829269E-2</v>
      </c>
      <c r="O49" s="234">
        <f t="shared" si="5"/>
        <v>7.909604519774005E-2</v>
      </c>
      <c r="P49" s="234">
        <f>AVERAGE(M49:O49)</f>
        <v>7.9103902100573206E-2</v>
      </c>
      <c r="Q49" s="234"/>
      <c r="S49" s="44"/>
      <c r="T49" s="44"/>
      <c r="U49" s="44"/>
      <c r="V49" s="44"/>
      <c r="W49" s="44"/>
      <c r="X49" s="44"/>
      <c r="Y49" s="44"/>
    </row>
    <row r="50" spans="2:25">
      <c r="B50" t="s">
        <v>54</v>
      </c>
      <c r="C50" s="24"/>
      <c r="D50" s="24"/>
      <c r="E50" s="116"/>
      <c r="F50" s="116"/>
      <c r="G50" s="116"/>
      <c r="H50" s="24">
        <f>'Exhibit 9'!B21</f>
        <v>0.45</v>
      </c>
      <c r="I50" s="24">
        <f>'Exhibit 9'!C21</f>
        <v>0.56999999999999995</v>
      </c>
      <c r="J50" s="24">
        <f>'Exhibit 9'!D21</f>
        <v>0</v>
      </c>
      <c r="K50" s="24">
        <f>'Exhibit 9'!E21</f>
        <v>0</v>
      </c>
      <c r="L50" s="24">
        <f>'Exhibit 9'!F21</f>
        <v>0</v>
      </c>
      <c r="M50" s="24">
        <f>'Exhibit 9'!G21</f>
        <v>0</v>
      </c>
      <c r="N50" s="24">
        <f>'Exhibit 9'!H21</f>
        <v>0</v>
      </c>
      <c r="O50" s="24">
        <f>'Exhibit 9'!I21</f>
        <v>0</v>
      </c>
      <c r="P50" s="24">
        <f>O50</f>
        <v>0</v>
      </c>
      <c r="Q50" s="234"/>
      <c r="S50" s="44"/>
      <c r="T50" s="44"/>
      <c r="U50" s="44"/>
      <c r="V50" s="44"/>
      <c r="W50" s="44"/>
      <c r="X50" s="44"/>
      <c r="Y50" s="44"/>
    </row>
    <row r="51" spans="2:25">
      <c r="B51" t="s">
        <v>55</v>
      </c>
      <c r="C51" s="24"/>
      <c r="D51" s="24"/>
      <c r="E51" s="116"/>
      <c r="F51" s="116"/>
      <c r="G51" s="116"/>
      <c r="H51" s="24">
        <f>'Exhibit 9'!B22</f>
        <v>-1.33</v>
      </c>
      <c r="I51" s="24">
        <f>'Exhibit 9'!C22</f>
        <v>0.7</v>
      </c>
      <c r="J51" s="24">
        <f>'Exhibit 9'!D22</f>
        <v>0.85</v>
      </c>
      <c r="K51" s="24">
        <f>'Exhibit 9'!E22</f>
        <v>0.92</v>
      </c>
      <c r="L51" s="24">
        <f>'Exhibit 9'!F22</f>
        <v>0.99</v>
      </c>
      <c r="M51" s="24">
        <f>'Exhibit 9'!G22</f>
        <v>1.07</v>
      </c>
      <c r="N51" s="24">
        <f>'Exhibit 9'!H22</f>
        <v>1.1599999999999999</v>
      </c>
      <c r="O51" s="24">
        <f>'Exhibit 9'!I22</f>
        <v>1.25</v>
      </c>
      <c r="P51" s="24">
        <f>O51*(1+P52)</f>
        <v>1.351044348848893</v>
      </c>
      <c r="Q51" s="234"/>
    </row>
    <row r="52" spans="2:25">
      <c r="B52" s="235" t="s">
        <v>1372</v>
      </c>
      <c r="C52" s="24"/>
      <c r="D52" s="24"/>
      <c r="E52" s="116"/>
      <c r="F52" s="116"/>
      <c r="G52" s="116"/>
      <c r="H52" s="24"/>
      <c r="I52" s="24"/>
      <c r="J52" s="234">
        <f t="shared" ref="J52:O52" si="6">J51/I51-1</f>
        <v>0.21428571428571441</v>
      </c>
      <c r="K52" s="234">
        <f t="shared" si="6"/>
        <v>8.235294117647074E-2</v>
      </c>
      <c r="L52" s="234">
        <f t="shared" si="6"/>
        <v>7.6086956521739024E-2</v>
      </c>
      <c r="M52" s="234">
        <f t="shared" si="6"/>
        <v>8.0808080808080884E-2</v>
      </c>
      <c r="N52" s="234">
        <f t="shared" si="6"/>
        <v>8.4112149532710179E-2</v>
      </c>
      <c r="O52" s="234">
        <f t="shared" si="6"/>
        <v>7.7586206896551824E-2</v>
      </c>
      <c r="P52" s="234">
        <f>AVERAGE(M52:O52)</f>
        <v>8.08354790791143E-2</v>
      </c>
      <c r="Q52" s="234"/>
      <c r="S52" s="44"/>
      <c r="T52" s="44"/>
      <c r="U52" s="44"/>
      <c r="V52" s="44"/>
      <c r="W52" s="44"/>
      <c r="X52" s="44"/>
      <c r="Y52" s="44"/>
    </row>
    <row r="53" spans="2:25" ht="16" thickBot="1">
      <c r="B53" s="238" t="s">
        <v>56</v>
      </c>
      <c r="C53" s="239"/>
      <c r="D53" s="239"/>
      <c r="E53" s="239"/>
      <c r="F53" s="239"/>
      <c r="G53" s="239"/>
      <c r="H53" s="239">
        <f>'Exhibit 9'!B23</f>
        <v>7.375</v>
      </c>
      <c r="I53" s="239">
        <f>'Exhibit 9'!C23</f>
        <v>9.9439999999999991</v>
      </c>
      <c r="J53" s="239">
        <f>'Exhibit 9'!D23</f>
        <v>9.6340999999999983</v>
      </c>
      <c r="K53" s="239">
        <f>'Exhibit 9'!E23</f>
        <v>10.744999999999999</v>
      </c>
      <c r="L53" s="239">
        <f>'Exhibit 9'!F23</f>
        <v>11.837</v>
      </c>
      <c r="M53" s="239">
        <f>'Exhibit 9'!G23</f>
        <v>12.842999999999998</v>
      </c>
      <c r="N53" s="239">
        <f>'Exhibit 9'!H23</f>
        <v>13.93</v>
      </c>
      <c r="O53" s="239">
        <f>'Exhibit 9'!I23</f>
        <v>15.095000000000002</v>
      </c>
      <c r="P53" s="239">
        <f>P36+P39+P40+P41+P42+P44+P46+P48+P50+P51</f>
        <v>16.231561629160179</v>
      </c>
      <c r="Q53" s="234"/>
    </row>
    <row r="54" spans="2:25" ht="16" thickTop="1">
      <c r="B54" t="s">
        <v>57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>
        <f>P53/(C16-C6)</f>
        <v>170.14854017718557</v>
      </c>
    </row>
    <row r="55" spans="2:25">
      <c r="B55" t="s">
        <v>58</v>
      </c>
      <c r="C55" s="24"/>
      <c r="D55" s="24"/>
      <c r="E55" s="24"/>
      <c r="F55" s="24"/>
      <c r="G55" s="24"/>
      <c r="H55" s="24">
        <f t="shared" ref="H55:O55" si="7">1/(1+$C$16)^H22</f>
        <v>0.88598040180854176</v>
      </c>
      <c r="I55" s="24">
        <f t="shared" si="7"/>
        <v>0.78496127238882518</v>
      </c>
      <c r="J55" s="24">
        <f t="shared" si="7"/>
        <v>0.69546030351519561</v>
      </c>
      <c r="K55" s="24">
        <f t="shared" si="7"/>
        <v>0.61616419915028342</v>
      </c>
      <c r="L55" s="24">
        <f t="shared" si="7"/>
        <v>0.54590940474320637</v>
      </c>
      <c r="M55" s="24">
        <f t="shared" si="7"/>
        <v>0.48366503376544795</v>
      </c>
      <c r="N55" s="24">
        <f t="shared" si="7"/>
        <v>0.4285177409562535</v>
      </c>
      <c r="O55" s="24">
        <f t="shared" si="7"/>
        <v>0.37965832031451008</v>
      </c>
      <c r="P55" s="24"/>
    </row>
    <row r="56" spans="2:25" ht="16" thickBot="1">
      <c r="B56" s="238" t="s">
        <v>59</v>
      </c>
      <c r="C56" s="239"/>
      <c r="D56" s="239"/>
      <c r="E56" s="239"/>
      <c r="F56" s="239"/>
      <c r="G56" s="239">
        <f>SUM(H56:P56)</f>
        <v>116.63272188283734</v>
      </c>
      <c r="H56" s="239">
        <f t="shared" ref="H56:O56" si="8">H53*H55</f>
        <v>6.5341054633379958</v>
      </c>
      <c r="I56" s="239">
        <f t="shared" si="8"/>
        <v>7.8056548926344771</v>
      </c>
      <c r="J56" s="239">
        <f t="shared" si="8"/>
        <v>6.7001341100957452</v>
      </c>
      <c r="K56" s="239">
        <f t="shared" si="8"/>
        <v>6.6206843198697944</v>
      </c>
      <c r="L56" s="239">
        <f t="shared" si="8"/>
        <v>6.4619296239453341</v>
      </c>
      <c r="M56" s="239">
        <f t="shared" si="8"/>
        <v>6.2117100286496472</v>
      </c>
      <c r="N56" s="239">
        <f t="shared" si="8"/>
        <v>5.9692521315206113</v>
      </c>
      <c r="O56" s="239">
        <f t="shared" si="8"/>
        <v>5.7309423451475308</v>
      </c>
      <c r="P56" s="239">
        <f>P54*O55</f>
        <v>64.5983089676362</v>
      </c>
    </row>
    <row r="57" spans="2:25" ht="16" thickTop="1">
      <c r="B57" s="14"/>
      <c r="C57" s="14"/>
      <c r="D57" s="14"/>
      <c r="E57" s="14"/>
      <c r="F57" s="14"/>
      <c r="G57" s="14"/>
      <c r="H57" s="57"/>
      <c r="I57" s="57"/>
      <c r="J57" s="57"/>
      <c r="K57" s="57"/>
      <c r="L57" s="57"/>
      <c r="M57" s="57"/>
      <c r="N57" s="57"/>
      <c r="O57" s="57"/>
      <c r="P57" s="14"/>
    </row>
    <row r="58" spans="2:25">
      <c r="B58" s="5" t="s">
        <v>60</v>
      </c>
      <c r="C58" s="5"/>
      <c r="D58" s="5"/>
      <c r="E58" s="5"/>
      <c r="F58" s="5"/>
      <c r="G58" s="5"/>
      <c r="H58" s="240"/>
      <c r="I58" s="240"/>
      <c r="J58" s="240"/>
      <c r="K58" s="240"/>
      <c r="L58" s="240"/>
      <c r="M58" s="240"/>
      <c r="N58" s="240"/>
      <c r="O58" s="240"/>
      <c r="P58" s="5"/>
    </row>
    <row r="59" spans="2:25">
      <c r="B59" s="118" t="s">
        <v>61</v>
      </c>
      <c r="C59" s="14"/>
      <c r="D59" s="14"/>
      <c r="E59" s="116"/>
      <c r="F59" s="116"/>
      <c r="G59" s="116"/>
      <c r="H59" s="24">
        <f>'Exhibit 9'!B27</f>
        <v>4.3199999999999994</v>
      </c>
      <c r="I59" s="24">
        <f>'Exhibit 9'!C27</f>
        <v>6.33</v>
      </c>
      <c r="J59" s="24">
        <f>'Exhibit 9'!D27</f>
        <v>5.9600000000000009</v>
      </c>
      <c r="K59" s="24">
        <f>'Exhibit 9'!E27</f>
        <v>5.51</v>
      </c>
      <c r="L59" s="24">
        <f>'Exhibit 9'!F27</f>
        <v>5</v>
      </c>
      <c r="M59" s="24">
        <f>'Exhibit 9'!G27</f>
        <v>4.38</v>
      </c>
      <c r="N59" s="24">
        <f>'Exhibit 9'!H27</f>
        <v>3.65</v>
      </c>
      <c r="O59" s="24">
        <f>'Exhibit 9'!I27</f>
        <v>3.14</v>
      </c>
      <c r="P59" s="14"/>
    </row>
    <row r="60" spans="2:25">
      <c r="B60" s="119" t="s">
        <v>62</v>
      </c>
      <c r="C60" s="14"/>
      <c r="D60" s="14"/>
      <c r="E60" s="116"/>
      <c r="F60" s="116"/>
      <c r="G60" s="116"/>
      <c r="H60" s="24">
        <f>'Exhibit 9'!B28</f>
        <v>-0.32</v>
      </c>
      <c r="I60" s="24">
        <f>'Exhibit 9'!C28</f>
        <v>0</v>
      </c>
      <c r="J60" s="24">
        <f>'Exhibit 9'!D28</f>
        <v>-0.13</v>
      </c>
      <c r="K60" s="24">
        <f>'Exhibit 9'!E28</f>
        <v>-0.25</v>
      </c>
      <c r="L60" s="24">
        <f>'Exhibit 9'!F28</f>
        <v>-0.38</v>
      </c>
      <c r="M60" s="24">
        <f>'Exhibit 9'!G28</f>
        <v>-0.55000000000000004</v>
      </c>
      <c r="N60" s="24">
        <f>'Exhibit 9'!H28</f>
        <v>-0.74</v>
      </c>
      <c r="O60" s="24">
        <f>'Exhibit 9'!I28</f>
        <v>-1.06</v>
      </c>
      <c r="P60" s="14"/>
    </row>
    <row r="61" spans="2:25">
      <c r="B61" s="119" t="s">
        <v>63</v>
      </c>
      <c r="C61" s="14"/>
      <c r="D61" s="14"/>
      <c r="E61" s="116"/>
      <c r="F61" s="116"/>
      <c r="G61" s="116"/>
      <c r="H61" s="120">
        <f>'Exhibit 9'!B29</f>
        <v>-0.47</v>
      </c>
      <c r="I61" s="120">
        <f>'Exhibit 9'!C29</f>
        <v>-0.94</v>
      </c>
      <c r="J61" s="120">
        <f>'Exhibit 9'!D29</f>
        <v>-0.47</v>
      </c>
      <c r="K61" s="120">
        <f>'Exhibit 9'!E29</f>
        <v>0</v>
      </c>
      <c r="L61" s="120">
        <f>'Exhibit 9'!F29</f>
        <v>0</v>
      </c>
      <c r="M61" s="120">
        <f>'Exhibit 9'!G29</f>
        <v>0</v>
      </c>
      <c r="N61" s="120">
        <f>'Exhibit 9'!H29</f>
        <v>0</v>
      </c>
      <c r="O61" s="120">
        <f>'Exhibit 9'!I29</f>
        <v>0</v>
      </c>
      <c r="P61" s="14"/>
    </row>
    <row r="62" spans="2:25">
      <c r="B62" s="118" t="s">
        <v>64</v>
      </c>
      <c r="C62" s="14"/>
      <c r="D62" s="14"/>
      <c r="E62" s="116"/>
      <c r="F62" s="116"/>
      <c r="G62" s="116"/>
      <c r="H62" s="120">
        <f>'Exhibit 9'!B30</f>
        <v>3.5299999999999994</v>
      </c>
      <c r="I62" s="120">
        <f>'Exhibit 9'!C30</f>
        <v>5.3900000000000006</v>
      </c>
      <c r="J62" s="120">
        <f>'Exhibit 9'!D30</f>
        <v>5.3600000000000012</v>
      </c>
      <c r="K62" s="120">
        <f>'Exhibit 9'!E30</f>
        <v>5.26</v>
      </c>
      <c r="L62" s="120">
        <f>'Exhibit 9'!F30</f>
        <v>4.62</v>
      </c>
      <c r="M62" s="120">
        <f>'Exhibit 9'!G30</f>
        <v>3.83</v>
      </c>
      <c r="N62" s="120">
        <f>'Exhibit 9'!H30</f>
        <v>2.91</v>
      </c>
      <c r="O62" s="120">
        <f>'Exhibit 9'!I30</f>
        <v>2.08</v>
      </c>
      <c r="P62" s="14"/>
    </row>
    <row r="63" spans="2:25">
      <c r="B63" s="118" t="s">
        <v>28</v>
      </c>
      <c r="C63" s="14"/>
      <c r="D63" s="14"/>
      <c r="E63" s="116"/>
      <c r="F63" s="116"/>
      <c r="G63" s="116"/>
      <c r="H63" s="121">
        <f t="shared" ref="H63:O63" si="9">H35</f>
        <v>0.25</v>
      </c>
      <c r="I63" s="121">
        <f t="shared" si="9"/>
        <v>0.31</v>
      </c>
      <c r="J63" s="121">
        <f t="shared" si="9"/>
        <v>0.31</v>
      </c>
      <c r="K63" s="121">
        <f t="shared" si="9"/>
        <v>0.3</v>
      </c>
      <c r="L63" s="121">
        <f t="shared" si="9"/>
        <v>0.3</v>
      </c>
      <c r="M63" s="121">
        <f t="shared" si="9"/>
        <v>0.3</v>
      </c>
      <c r="N63" s="121">
        <f t="shared" si="9"/>
        <v>0.3</v>
      </c>
      <c r="O63" s="121">
        <f t="shared" si="9"/>
        <v>0.3</v>
      </c>
      <c r="P63" s="14"/>
    </row>
    <row r="64" spans="2:25" ht="16" thickBot="1">
      <c r="B64" s="238" t="s">
        <v>65</v>
      </c>
      <c r="C64" s="238"/>
      <c r="D64" s="238"/>
      <c r="E64" s="238"/>
      <c r="F64" s="238"/>
      <c r="G64" s="238"/>
      <c r="H64" s="239">
        <f>H62*H63</f>
        <v>0.88249999999999984</v>
      </c>
      <c r="I64" s="239">
        <f t="shared" ref="I64:O64" si="10">I62*I63</f>
        <v>1.6709000000000003</v>
      </c>
      <c r="J64" s="239">
        <f t="shared" si="10"/>
        <v>1.6616000000000004</v>
      </c>
      <c r="K64" s="239">
        <f t="shared" si="10"/>
        <v>1.5779999999999998</v>
      </c>
      <c r="L64" s="239">
        <f t="shared" si="10"/>
        <v>1.3859999999999999</v>
      </c>
      <c r="M64" s="239">
        <f t="shared" si="10"/>
        <v>1.149</v>
      </c>
      <c r="N64" s="239">
        <f t="shared" si="10"/>
        <v>0.873</v>
      </c>
      <c r="O64" s="239">
        <f t="shared" si="10"/>
        <v>0.624</v>
      </c>
      <c r="P64" s="239">
        <f>O64*(1+C8)</f>
        <v>0.65276639999999997</v>
      </c>
    </row>
    <row r="65" spans="1:25" s="58" customFormat="1" ht="16" thickTop="1">
      <c r="A65"/>
      <c r="B65" s="118" t="s">
        <v>57</v>
      </c>
      <c r="C65" s="118"/>
      <c r="D65" s="118"/>
      <c r="E65" s="118"/>
      <c r="F65" s="118"/>
      <c r="G65" s="118"/>
      <c r="H65" s="120"/>
      <c r="I65" s="118"/>
      <c r="J65" s="118"/>
      <c r="K65" s="118"/>
      <c r="L65" s="118"/>
      <c r="M65" s="118"/>
      <c r="N65" s="118"/>
      <c r="O65" s="118"/>
      <c r="P65" s="120">
        <f>P64/(C18-C6)</f>
        <v>13.847415799747631</v>
      </c>
      <c r="Q65" s="118"/>
      <c r="R65" s="118"/>
      <c r="S65" s="118"/>
      <c r="T65" s="118"/>
      <c r="U65" s="118"/>
      <c r="V65" s="118"/>
      <c r="W65" s="118"/>
      <c r="X65" s="118"/>
      <c r="Y65" s="118"/>
    </row>
    <row r="66" spans="1:25" s="58" customFormat="1">
      <c r="A66"/>
      <c r="B66" s="118" t="s">
        <v>58</v>
      </c>
      <c r="C66" s="118"/>
      <c r="D66" s="118"/>
      <c r="E66" s="118"/>
      <c r="F66" s="118"/>
      <c r="G66" s="118"/>
      <c r="H66" s="120">
        <f t="shared" ref="H66:O66" si="11">1/(1+$C$18)^H22</f>
        <v>0.92555171034181394</v>
      </c>
      <c r="I66" s="120">
        <f t="shared" si="11"/>
        <v>0.85664596851665709</v>
      </c>
      <c r="J66" s="120">
        <f t="shared" si="11"/>
        <v>0.79287014131801159</v>
      </c>
      <c r="K66" s="120">
        <f t="shared" si="11"/>
        <v>0.73384231537584144</v>
      </c>
      <c r="L66" s="120">
        <f t="shared" si="11"/>
        <v>0.67920901011730683</v>
      </c>
      <c r="M66" s="120">
        <f t="shared" si="11"/>
        <v>0.62864306099364375</v>
      </c>
      <c r="N66" s="120">
        <f t="shared" si="11"/>
        <v>0.58184166029718021</v>
      </c>
      <c r="O66" s="120">
        <f t="shared" si="11"/>
        <v>0.53852454383617587</v>
      </c>
      <c r="P66" s="120"/>
      <c r="Q66" s="118"/>
      <c r="R66" s="118"/>
      <c r="S66" s="118"/>
      <c r="T66" s="118"/>
      <c r="U66" s="118"/>
      <c r="V66" s="118"/>
      <c r="W66" s="118"/>
      <c r="X66" s="118"/>
      <c r="Y66" s="118"/>
    </row>
    <row r="67" spans="1:25" ht="16" thickBot="1">
      <c r="B67" s="238" t="s">
        <v>1347</v>
      </c>
      <c r="C67" s="238"/>
      <c r="D67" s="238"/>
      <c r="E67" s="238"/>
      <c r="F67" s="238"/>
      <c r="G67" s="239">
        <f>SUM(H67:P67)</f>
        <v>14.688460260414661</v>
      </c>
      <c r="H67" s="239">
        <f t="shared" ref="H67:O67" si="12">H64*H66</f>
        <v>0.81679938437665067</v>
      </c>
      <c r="I67" s="239">
        <f t="shared" si="12"/>
        <v>1.4313697487944825</v>
      </c>
      <c r="J67" s="239">
        <f t="shared" si="12"/>
        <v>1.3174330268140084</v>
      </c>
      <c r="K67" s="239">
        <f t="shared" si="12"/>
        <v>1.1580031736630776</v>
      </c>
      <c r="L67" s="239">
        <f t="shared" si="12"/>
        <v>0.94138368802258721</v>
      </c>
      <c r="M67" s="239">
        <f t="shared" si="12"/>
        <v>0.72231087708169672</v>
      </c>
      <c r="N67" s="239">
        <f t="shared" si="12"/>
        <v>0.50794776943943831</v>
      </c>
      <c r="O67" s="239">
        <f t="shared" si="12"/>
        <v>0.33603931535377374</v>
      </c>
      <c r="P67" s="239">
        <f>P65*O66</f>
        <v>7.4571732768689474</v>
      </c>
    </row>
    <row r="68" spans="1:25" ht="16" thickTop="1">
      <c r="B68" s="14"/>
      <c r="C68" s="14"/>
      <c r="D68" s="14"/>
      <c r="E68" s="14"/>
      <c r="F68" s="14"/>
      <c r="G68" s="149"/>
      <c r="H68" s="57"/>
      <c r="I68" s="57"/>
      <c r="J68" s="57"/>
      <c r="K68" s="57"/>
      <c r="L68" s="57"/>
      <c r="M68" s="57"/>
      <c r="N68" s="57"/>
      <c r="O68" s="57"/>
      <c r="P68" s="57"/>
    </row>
    <row r="69" spans="1:25">
      <c r="B69" s="5" t="s">
        <v>69</v>
      </c>
      <c r="C69" s="5"/>
      <c r="D69" s="253" t="s">
        <v>1374</v>
      </c>
      <c r="E69" s="24"/>
    </row>
    <row r="70" spans="1:25">
      <c r="B70" t="s">
        <v>1313</v>
      </c>
      <c r="C70" s="24">
        <f>SUM(H56:O56)</f>
        <v>52.034412915201145</v>
      </c>
      <c r="D70" s="250">
        <f>C70/C73</f>
        <v>0.39623777418055289</v>
      </c>
    </row>
    <row r="71" spans="1:25">
      <c r="B71" t="s">
        <v>1385</v>
      </c>
      <c r="C71" s="24">
        <f>P56</f>
        <v>64.5983089676362</v>
      </c>
      <c r="D71" s="251">
        <f>C71/C73</f>
        <v>0.49191080915772589</v>
      </c>
      <c r="E71" s="28"/>
    </row>
    <row r="72" spans="1:25">
      <c r="B72" t="s">
        <v>1384</v>
      </c>
      <c r="C72" s="24">
        <f>SUM(H67:P67)</f>
        <v>14.688460260414661</v>
      </c>
      <c r="D72" s="251">
        <f>C72/C73</f>
        <v>0.1118514166617212</v>
      </c>
    </row>
    <row r="73" spans="1:25" ht="16" thickBot="1">
      <c r="B73" s="156" t="s">
        <v>69</v>
      </c>
      <c r="C73" s="157">
        <f>SUM(C70:C72)</f>
        <v>131.321182143252</v>
      </c>
      <c r="D73" s="252">
        <f>C73/SUM(C70:C72)</f>
        <v>1</v>
      </c>
    </row>
    <row r="74" spans="1:25" ht="16" thickTop="1">
      <c r="D74" s="18"/>
    </row>
    <row r="75" spans="1:25">
      <c r="B75" s="5" t="s">
        <v>70</v>
      </c>
      <c r="C75" s="24"/>
      <c r="D75" s="253" t="s">
        <v>1374</v>
      </c>
    </row>
    <row r="76" spans="1:25">
      <c r="B76" s="22" t="s">
        <v>69</v>
      </c>
      <c r="C76" s="43">
        <f>C73</f>
        <v>131.321182143252</v>
      </c>
      <c r="D76" s="171">
        <v>1</v>
      </c>
      <c r="E76" s="24"/>
    </row>
    <row r="77" spans="1:25">
      <c r="B77" t="s">
        <v>71</v>
      </c>
      <c r="C77">
        <f>-SUM(LBO!C41:C44)</f>
        <v>-59.13</v>
      </c>
      <c r="D77" s="241">
        <f>-C77/C76</f>
        <v>0.45027008617313474</v>
      </c>
    </row>
    <row r="78" spans="1:25" ht="16" thickBot="1">
      <c r="B78" s="238" t="s">
        <v>72</v>
      </c>
      <c r="C78" s="239">
        <f>SUM(C76:C77)</f>
        <v>72.191182143252007</v>
      </c>
      <c r="D78" s="243">
        <f>C78/C76</f>
        <v>0.54972991382686531</v>
      </c>
    </row>
    <row r="79" spans="1:25" ht="16" thickTop="1">
      <c r="C79" s="24"/>
    </row>
    <row r="80" spans="1:25">
      <c r="B80" t="s">
        <v>73</v>
      </c>
      <c r="C80" s="18">
        <f>'Option pricing'!F11</f>
        <v>12.94</v>
      </c>
    </row>
    <row r="81" spans="2:11" ht="16" thickBot="1">
      <c r="B81" s="282" t="s">
        <v>74</v>
      </c>
      <c r="C81" s="283">
        <f>C78/C80</f>
        <v>5.5789167034970637</v>
      </c>
    </row>
    <row r="82" spans="2:11" ht="16" thickTop="1"/>
    <row r="85" spans="2:11">
      <c r="F85" s="288" t="s">
        <v>1354</v>
      </c>
      <c r="G85" s="288"/>
      <c r="H85" s="288"/>
      <c r="I85" s="288"/>
      <c r="J85" s="288"/>
      <c r="K85" s="288"/>
    </row>
    <row r="87" spans="2:11">
      <c r="E87" s="76"/>
      <c r="F87" s="76"/>
      <c r="G87" s="76"/>
      <c r="H87" s="76"/>
      <c r="I87" s="76"/>
      <c r="J87" s="76"/>
      <c r="K87" s="76"/>
    </row>
    <row r="88" spans="2:11">
      <c r="E88" s="76"/>
      <c r="F88" s="288" t="s">
        <v>5</v>
      </c>
      <c r="G88" s="288"/>
      <c r="H88" s="288"/>
      <c r="I88" s="288"/>
      <c r="J88" s="288"/>
      <c r="K88" s="288"/>
    </row>
    <row r="89" spans="2:11">
      <c r="E89" s="289" t="s">
        <v>1375</v>
      </c>
      <c r="F89" s="266"/>
      <c r="G89" s="267">
        <v>2.5000000000000001E-2</v>
      </c>
      <c r="H89" s="268">
        <v>0.03</v>
      </c>
      <c r="I89" s="267">
        <v>3.3300000000000003E-2</v>
      </c>
      <c r="J89" s="267">
        <v>3.5999999999999997E-2</v>
      </c>
      <c r="K89" s="268">
        <v>0.04</v>
      </c>
    </row>
    <row r="90" spans="2:11" ht="15" customHeight="1">
      <c r="E90" s="289"/>
      <c r="F90" s="269">
        <v>0.11</v>
      </c>
      <c r="G90" s="92">
        <v>7.15</v>
      </c>
      <c r="H90" s="92">
        <v>7.63</v>
      </c>
      <c r="I90" s="92">
        <v>7.99</v>
      </c>
      <c r="J90" s="92">
        <v>8.3000000000000007</v>
      </c>
      <c r="K90" s="92">
        <v>8.82</v>
      </c>
    </row>
    <row r="91" spans="2:11">
      <c r="E91" s="289"/>
      <c r="F91" s="269">
        <v>0.12</v>
      </c>
      <c r="G91" s="92">
        <v>5.92</v>
      </c>
      <c r="H91" s="92">
        <v>6.3</v>
      </c>
      <c r="I91" s="92">
        <v>6.57</v>
      </c>
      <c r="J91" s="92">
        <v>6.81</v>
      </c>
      <c r="K91" s="92">
        <v>7.2</v>
      </c>
    </row>
    <row r="92" spans="2:11">
      <c r="E92" s="289"/>
      <c r="F92" s="270">
        <v>0.12870000000000001</v>
      </c>
      <c r="G92" s="92">
        <v>5.05</v>
      </c>
      <c r="H92" s="92">
        <v>5.36</v>
      </c>
      <c r="I92" s="232">
        <v>5.58</v>
      </c>
      <c r="J92" s="92">
        <v>5.77</v>
      </c>
      <c r="K92" s="92">
        <v>6.09</v>
      </c>
    </row>
    <row r="93" spans="2:11">
      <c r="E93" s="289"/>
      <c r="F93" s="269">
        <v>0.14000000000000001</v>
      </c>
      <c r="G93" s="92">
        <v>4.12</v>
      </c>
      <c r="H93" s="92">
        <v>4.3600000000000003</v>
      </c>
      <c r="I93" s="92">
        <v>4.54</v>
      </c>
      <c r="J93" s="92">
        <v>4.6900000000000004</v>
      </c>
      <c r="K93" s="92">
        <v>4.9400000000000004</v>
      </c>
    </row>
    <row r="94" spans="2:11">
      <c r="E94" s="289"/>
      <c r="F94" s="269">
        <v>0.15</v>
      </c>
      <c r="G94" s="92">
        <v>3.44</v>
      </c>
      <c r="H94" s="92">
        <v>3.64</v>
      </c>
      <c r="I94" s="92">
        <v>3.79</v>
      </c>
      <c r="J94" s="92">
        <v>3.92</v>
      </c>
      <c r="K94" s="92">
        <v>4.13</v>
      </c>
    </row>
    <row r="99" ht="15" customHeight="1"/>
  </sheetData>
  <mergeCells count="3">
    <mergeCell ref="F88:K88"/>
    <mergeCell ref="F85:K85"/>
    <mergeCell ref="E89:E94"/>
  </mergeCells>
  <conditionalFormatting sqref="G90:K9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0" verticalDpi="0"/>
  <ignoredErrors>
    <ignoredError sqref="J44:P44 I46:O46 J48:O48 P45 P43 P47" formula="1"/>
  </ignoredErrors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A7AC4-7887-4F49-8A37-B332430E28F3}">
  <dimension ref="A1:XFD401"/>
  <sheetViews>
    <sheetView showGridLines="0" tabSelected="1" topLeftCell="C385" zoomScale="182" workbookViewId="0">
      <selection activeCell="E395" sqref="E395"/>
    </sheetView>
  </sheetViews>
  <sheetFormatPr baseColWidth="10" defaultColWidth="8.6640625" defaultRowHeight="15"/>
  <cols>
    <col min="1" max="1" width="3.6640625" customWidth="1"/>
    <col min="2" max="2" width="20.6640625" bestFit="1" customWidth="1"/>
    <col min="3" max="3" width="10.5" customWidth="1"/>
    <col min="4" max="4" width="11.1640625" bestFit="1" customWidth="1"/>
    <col min="6" max="6" width="10.33203125" bestFit="1" customWidth="1"/>
    <col min="7" max="8" width="10.1640625" bestFit="1" customWidth="1"/>
    <col min="13" max="14" width="8.6640625" customWidth="1"/>
    <col min="15" max="21" width="8.83203125" bestFit="1" customWidth="1"/>
    <col min="22" max="22" width="9.5" bestFit="1" customWidth="1"/>
  </cols>
  <sheetData>
    <row r="1" spans="1:2" ht="5" customHeight="1"/>
    <row r="2" spans="1:2" s="4" customFormat="1" ht="19">
      <c r="A2" s="17" t="s">
        <v>13</v>
      </c>
      <c r="B2" s="4" t="s">
        <v>76</v>
      </c>
    </row>
    <row r="5" spans="1:2" ht="27">
      <c r="B5" s="172" t="s">
        <v>1382</v>
      </c>
    </row>
    <row r="6" spans="1:2">
      <c r="B6" s="16" t="s">
        <v>1359</v>
      </c>
    </row>
    <row r="20" spans="1:7 16384:16384" s="155" customFormat="1">
      <c r="A20" s="155" t="s">
        <v>13</v>
      </c>
      <c r="B20" s="142" t="s">
        <v>77</v>
      </c>
    </row>
    <row r="22" spans="1:7 16384:16384">
      <c r="A22" t="s">
        <v>13</v>
      </c>
      <c r="B22" s="8" t="s">
        <v>78</v>
      </c>
      <c r="C22" s="3"/>
      <c r="D22" s="3"/>
      <c r="E22" s="3"/>
      <c r="F22" s="9"/>
      <c r="G22" s="3"/>
    </row>
    <row r="23" spans="1:7 16384:16384">
      <c r="B23" t="s">
        <v>1341</v>
      </c>
      <c r="D23" s="170">
        <v>1</v>
      </c>
      <c r="F23" s="7"/>
    </row>
    <row r="24" spans="1:7 16384:16384">
      <c r="XFD24" s="169" t="s">
        <v>1339</v>
      </c>
    </row>
    <row r="25" spans="1:7 16384:16384">
      <c r="XFD25" s="169" t="s">
        <v>1340</v>
      </c>
    </row>
    <row r="27" spans="1:7 16384:16384">
      <c r="A27" t="s">
        <v>13</v>
      </c>
      <c r="B27" s="8" t="s">
        <v>79</v>
      </c>
      <c r="C27" s="3"/>
      <c r="D27" s="3"/>
      <c r="E27" s="3"/>
      <c r="F27" s="3"/>
      <c r="G27" s="3"/>
    </row>
    <row r="29" spans="1:7 16384:16384">
      <c r="B29" t="s">
        <v>80</v>
      </c>
    </row>
    <row r="31" spans="1:7 16384:16384">
      <c r="B31" t="s">
        <v>71</v>
      </c>
    </row>
    <row r="32" spans="1:7 16384:16384">
      <c r="B32" t="s">
        <v>81</v>
      </c>
    </row>
    <row r="33" spans="1:8">
      <c r="B33" t="s">
        <v>82</v>
      </c>
    </row>
    <row r="34" spans="1:8">
      <c r="B34" t="s">
        <v>83</v>
      </c>
    </row>
    <row r="35" spans="1:8">
      <c r="B35" t="s">
        <v>84</v>
      </c>
    </row>
    <row r="37" spans="1:8">
      <c r="A37" t="s">
        <v>13</v>
      </c>
      <c r="B37" s="8" t="s">
        <v>85</v>
      </c>
      <c r="C37" s="8"/>
      <c r="D37" s="8"/>
      <c r="E37" s="8"/>
      <c r="F37" s="8"/>
      <c r="G37" s="8"/>
    </row>
    <row r="39" spans="1:8">
      <c r="B39" s="5" t="s">
        <v>86</v>
      </c>
      <c r="C39" s="3"/>
    </row>
    <row r="40" spans="1:8">
      <c r="B40" s="5" t="s">
        <v>87</v>
      </c>
      <c r="C40" s="11" t="s">
        <v>30</v>
      </c>
      <c r="D40" t="s">
        <v>88</v>
      </c>
      <c r="F40" s="5" t="s">
        <v>89</v>
      </c>
      <c r="G40" s="3"/>
      <c r="H40" s="3"/>
    </row>
    <row r="41" spans="1:8">
      <c r="B41" t="s">
        <v>90</v>
      </c>
      <c r="C41">
        <v>1.1299999999999999</v>
      </c>
      <c r="F41" t="s">
        <v>80</v>
      </c>
      <c r="G41">
        <f>C49</f>
        <v>65.8</v>
      </c>
    </row>
    <row r="42" spans="1:8">
      <c r="B42" t="s">
        <v>91</v>
      </c>
      <c r="C42">
        <v>32</v>
      </c>
      <c r="D42" s="36">
        <f>AVERAGE('Debt valuation'!E49:K49)</f>
        <v>7.7545238095238084E-2</v>
      </c>
      <c r="F42" t="s">
        <v>92</v>
      </c>
      <c r="G42">
        <f>G101</f>
        <v>13.32</v>
      </c>
    </row>
    <row r="43" spans="1:8">
      <c r="B43" t="s">
        <v>93</v>
      </c>
      <c r="C43">
        <v>15</v>
      </c>
      <c r="D43" s="36">
        <f>AVERAGE('Debt valuation'!E66:L66)</f>
        <v>8.7522916666666659E-2</v>
      </c>
      <c r="F43" t="s">
        <v>94</v>
      </c>
      <c r="G43">
        <f>G103</f>
        <v>11.42</v>
      </c>
    </row>
    <row r="44" spans="1:8">
      <c r="B44" t="s">
        <v>95</v>
      </c>
      <c r="C44">
        <v>11</v>
      </c>
      <c r="D44" s="71">
        <f>AVERAGE('Debt valuation'!D96:M96)</f>
        <v>7.9184999999999992E-2</v>
      </c>
      <c r="F44" t="s">
        <v>96</v>
      </c>
      <c r="G44" s="64">
        <f>G41/G42</f>
        <v>4.93993993993994</v>
      </c>
    </row>
    <row r="45" spans="1:8" ht="16" thickBot="1">
      <c r="B45" s="12" t="s">
        <v>97</v>
      </c>
      <c r="C45" s="12">
        <v>11</v>
      </c>
      <c r="F45" t="s">
        <v>98</v>
      </c>
      <c r="G45" s="64">
        <f>G41/G43</f>
        <v>5.7618213660245186</v>
      </c>
    </row>
    <row r="46" spans="1:8" ht="16" thickTop="1">
      <c r="B46" t="s">
        <v>99</v>
      </c>
      <c r="C46">
        <v>70.13</v>
      </c>
    </row>
    <row r="47" spans="1:8">
      <c r="F47" s="5" t="s">
        <v>100</v>
      </c>
      <c r="G47" s="3"/>
      <c r="H47" s="3"/>
    </row>
    <row r="48" spans="1:8">
      <c r="B48" s="5" t="s">
        <v>101</v>
      </c>
      <c r="C48" s="3"/>
      <c r="F48" t="s">
        <v>102</v>
      </c>
      <c r="G48">
        <f>G41</f>
        <v>65.8</v>
      </c>
    </row>
    <row r="49" spans="1:8">
      <c r="B49" t="s">
        <v>80</v>
      </c>
      <c r="C49">
        <v>65.8</v>
      </c>
      <c r="F49" s="13" t="s">
        <v>103</v>
      </c>
      <c r="G49">
        <f>-C83</f>
        <v>-0.28999999999999998</v>
      </c>
    </row>
    <row r="50" spans="1:8" ht="16" thickBot="1">
      <c r="B50" t="s">
        <v>104</v>
      </c>
      <c r="C50">
        <v>-4.47</v>
      </c>
      <c r="F50" s="15" t="s">
        <v>105</v>
      </c>
      <c r="G50" s="12">
        <v>0</v>
      </c>
      <c r="H50" s="12"/>
    </row>
    <row r="51" spans="1:8" ht="16" thickTop="1">
      <c r="B51" t="s">
        <v>106</v>
      </c>
      <c r="C51">
        <v>1.3</v>
      </c>
      <c r="F51" t="s">
        <v>107</v>
      </c>
      <c r="G51">
        <f>G48+SUM(G49:G50)</f>
        <v>65.509999999999991</v>
      </c>
    </row>
    <row r="52" spans="1:8" ht="16" thickBot="1">
      <c r="B52" s="12" t="s">
        <v>108</v>
      </c>
      <c r="C52" s="12">
        <v>7.5</v>
      </c>
    </row>
    <row r="53" spans="1:8" ht="16" thickTop="1">
      <c r="B53" t="s">
        <v>109</v>
      </c>
      <c r="C53">
        <v>70.13</v>
      </c>
    </row>
    <row r="54" spans="1:8">
      <c r="F54" s="5" t="s">
        <v>110</v>
      </c>
      <c r="G54" s="3"/>
      <c r="H54" s="3"/>
    </row>
    <row r="55" spans="1:8">
      <c r="F55" t="s">
        <v>111</v>
      </c>
      <c r="G55">
        <f>G51</f>
        <v>65.509999999999991</v>
      </c>
    </row>
    <row r="56" spans="1:8">
      <c r="C56" s="24"/>
      <c r="F56" s="13" t="s">
        <v>112</v>
      </c>
      <c r="G56">
        <f>C85</f>
        <v>32.33</v>
      </c>
    </row>
    <row r="57" spans="1:8">
      <c r="F57" s="25" t="s">
        <v>113</v>
      </c>
      <c r="G57" s="26">
        <f>G55-G56-G58</f>
        <v>-12.750000000000007</v>
      </c>
    </row>
    <row r="58" spans="1:8">
      <c r="F58" t="s">
        <v>114</v>
      </c>
      <c r="G58">
        <f>D73</f>
        <v>45.93</v>
      </c>
    </row>
    <row r="61" spans="1:8" s="155" customFormat="1">
      <c r="A61" s="155" t="s">
        <v>13</v>
      </c>
      <c r="B61" s="142" t="s">
        <v>115</v>
      </c>
    </row>
    <row r="62" spans="1:8" s="76" customFormat="1">
      <c r="B62" s="247"/>
    </row>
    <row r="63" spans="1:8">
      <c r="A63" t="s">
        <v>13</v>
      </c>
      <c r="B63" s="207" t="s">
        <v>116</v>
      </c>
      <c r="C63" s="8"/>
      <c r="D63" s="8"/>
      <c r="E63" s="8"/>
      <c r="F63" s="16"/>
      <c r="G63" s="16"/>
    </row>
    <row r="65" spans="2:5">
      <c r="C65" s="3" t="s">
        <v>117</v>
      </c>
      <c r="D65" s="3"/>
      <c r="E65" s="3" t="s">
        <v>118</v>
      </c>
    </row>
    <row r="66" spans="2:5">
      <c r="B66" s="207" t="s">
        <v>30</v>
      </c>
      <c r="C66" s="245">
        <v>33178</v>
      </c>
      <c r="D66" s="207" t="s">
        <v>119</v>
      </c>
      <c r="E66" s="245">
        <v>33178</v>
      </c>
    </row>
    <row r="67" spans="2:5">
      <c r="B67" s="16" t="s">
        <v>120</v>
      </c>
    </row>
    <row r="68" spans="2:5">
      <c r="B68" t="s">
        <v>121</v>
      </c>
      <c r="C68">
        <v>11.04</v>
      </c>
      <c r="D68">
        <v>-4.47</v>
      </c>
      <c r="E68">
        <v>6.5699999999999994</v>
      </c>
    </row>
    <row r="69" spans="2:5">
      <c r="B69" t="s">
        <v>122</v>
      </c>
      <c r="C69">
        <v>7.71</v>
      </c>
      <c r="E69">
        <v>7.71</v>
      </c>
    </row>
    <row r="70" spans="2:5">
      <c r="B70" t="s">
        <v>123</v>
      </c>
      <c r="C70">
        <v>0</v>
      </c>
      <c r="E70">
        <v>0</v>
      </c>
    </row>
    <row r="71" spans="2:5">
      <c r="B71" t="s">
        <v>124</v>
      </c>
      <c r="C71">
        <v>7.71</v>
      </c>
      <c r="E71">
        <v>7.71</v>
      </c>
    </row>
    <row r="72" spans="2:5">
      <c r="B72" t="s">
        <v>125</v>
      </c>
      <c r="C72">
        <v>2.42</v>
      </c>
      <c r="E72">
        <v>2.42</v>
      </c>
    </row>
    <row r="73" spans="2:5">
      <c r="B73" t="s">
        <v>126</v>
      </c>
      <c r="C73">
        <v>0</v>
      </c>
      <c r="D73">
        <v>45.93</v>
      </c>
      <c r="E73">
        <v>45.93</v>
      </c>
    </row>
    <row r="74" spans="2:5" ht="16" thickBot="1">
      <c r="B74" s="12" t="s">
        <v>127</v>
      </c>
      <c r="C74" s="12">
        <v>0</v>
      </c>
      <c r="D74" s="12">
        <v>7.5</v>
      </c>
      <c r="E74" s="12">
        <v>7.5</v>
      </c>
    </row>
    <row r="75" spans="2:5" ht="16" thickTop="1">
      <c r="B75" s="14" t="s">
        <v>128</v>
      </c>
      <c r="C75" s="14">
        <v>21.17</v>
      </c>
      <c r="D75" s="14">
        <v>48.96</v>
      </c>
      <c r="E75" s="14">
        <v>70.13</v>
      </c>
    </row>
    <row r="77" spans="2:5">
      <c r="B77" s="207" t="s">
        <v>129</v>
      </c>
      <c r="C77" s="3"/>
      <c r="D77" s="3"/>
      <c r="E77" s="3"/>
    </row>
    <row r="78" spans="2:5">
      <c r="B78" t="s">
        <v>130</v>
      </c>
      <c r="C78">
        <v>0.28999999999999998</v>
      </c>
      <c r="E78">
        <v>0.28999999999999998</v>
      </c>
    </row>
    <row r="79" spans="2:5">
      <c r="B79" t="s">
        <v>131</v>
      </c>
      <c r="C79">
        <v>0</v>
      </c>
      <c r="D79">
        <v>0</v>
      </c>
      <c r="E79">
        <v>0</v>
      </c>
    </row>
    <row r="80" spans="2:5">
      <c r="B80" t="s">
        <v>132</v>
      </c>
      <c r="C80">
        <v>0</v>
      </c>
      <c r="D80">
        <v>32</v>
      </c>
      <c r="E80">
        <v>32</v>
      </c>
    </row>
    <row r="81" spans="1:14">
      <c r="B81" t="s">
        <v>133</v>
      </c>
      <c r="C81">
        <v>0</v>
      </c>
      <c r="D81">
        <v>15</v>
      </c>
      <c r="E81">
        <v>15</v>
      </c>
    </row>
    <row r="82" spans="1:14">
      <c r="B82" t="s">
        <v>134</v>
      </c>
      <c r="C82">
        <v>0</v>
      </c>
      <c r="D82">
        <v>11</v>
      </c>
      <c r="E82">
        <v>11</v>
      </c>
    </row>
    <row r="83" spans="1:14">
      <c r="B83" t="s">
        <v>135</v>
      </c>
      <c r="C83">
        <v>0.28999999999999998</v>
      </c>
      <c r="D83">
        <v>58</v>
      </c>
      <c r="E83">
        <v>58.29</v>
      </c>
    </row>
    <row r="84" spans="1:14">
      <c r="B84" t="s">
        <v>136</v>
      </c>
      <c r="C84">
        <v>0.84</v>
      </c>
      <c r="E84">
        <v>0.84</v>
      </c>
    </row>
    <row r="85" spans="1:14" ht="16" thickBot="1">
      <c r="B85" s="12" t="s">
        <v>97</v>
      </c>
      <c r="C85" s="12">
        <v>32.33</v>
      </c>
      <c r="D85" s="12">
        <v>-21.33</v>
      </c>
      <c r="E85" s="12">
        <v>11</v>
      </c>
    </row>
    <row r="86" spans="1:14" ht="16" thickTop="1">
      <c r="B86" s="14" t="s">
        <v>137</v>
      </c>
      <c r="C86" s="14">
        <v>33.46</v>
      </c>
      <c r="D86" s="14">
        <v>48.96</v>
      </c>
      <c r="E86" s="14">
        <v>70.13</v>
      </c>
    </row>
    <row r="89" spans="1:14">
      <c r="A89" t="s">
        <v>13</v>
      </c>
      <c r="B89" s="207" t="s">
        <v>138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1" spans="1:14">
      <c r="B91" s="5" t="s">
        <v>30</v>
      </c>
      <c r="C91" s="5">
        <v>1987</v>
      </c>
      <c r="D91" s="5" t="s">
        <v>139</v>
      </c>
      <c r="E91" s="5">
        <v>1989</v>
      </c>
      <c r="F91" s="5">
        <v>1990</v>
      </c>
      <c r="G91" s="5">
        <v>1991</v>
      </c>
      <c r="H91" s="5">
        <v>1992</v>
      </c>
      <c r="I91" s="5">
        <v>1993</v>
      </c>
      <c r="J91" s="5">
        <v>1994</v>
      </c>
      <c r="K91" s="5">
        <v>1995</v>
      </c>
      <c r="L91" s="5">
        <v>1996</v>
      </c>
      <c r="M91" s="5">
        <v>1997</v>
      </c>
      <c r="N91" s="5">
        <v>1998</v>
      </c>
    </row>
    <row r="93" spans="1:14">
      <c r="B93" t="s">
        <v>33</v>
      </c>
      <c r="C93" s="249">
        <v>89387</v>
      </c>
      <c r="D93" s="249">
        <v>87819</v>
      </c>
      <c r="E93" s="249">
        <v>97772</v>
      </c>
      <c r="F93" s="249">
        <v>110897</v>
      </c>
      <c r="G93" s="116"/>
      <c r="H93" s="116"/>
      <c r="I93" s="116"/>
      <c r="J93" s="116"/>
      <c r="K93" s="116"/>
      <c r="L93" s="116"/>
      <c r="M93" s="116"/>
      <c r="N93" s="116"/>
    </row>
    <row r="94" spans="1:14">
      <c r="B94" t="s">
        <v>34</v>
      </c>
      <c r="C94" s="249">
        <v>-76874</v>
      </c>
      <c r="D94" s="249">
        <v>-77666</v>
      </c>
      <c r="E94" s="249">
        <v>-85201</v>
      </c>
      <c r="F94" s="249">
        <v>-98466</v>
      </c>
      <c r="G94" s="116"/>
      <c r="H94" s="116"/>
      <c r="I94" s="116"/>
      <c r="J94" s="116"/>
      <c r="K94" s="116"/>
      <c r="L94" s="116"/>
      <c r="M94" s="116"/>
      <c r="N94" s="116"/>
    </row>
    <row r="95" spans="1:14">
      <c r="B95" t="s">
        <v>35</v>
      </c>
      <c r="C95" s="249">
        <v>12513</v>
      </c>
      <c r="D95" s="249">
        <v>10153</v>
      </c>
      <c r="E95" s="249">
        <v>2521</v>
      </c>
      <c r="F95" s="249">
        <v>12431</v>
      </c>
      <c r="G95" s="116"/>
      <c r="H95" s="116"/>
      <c r="I95" s="116"/>
      <c r="J95" s="116"/>
      <c r="K95" s="116"/>
      <c r="L95" s="116"/>
      <c r="M95" s="116"/>
      <c r="N95" s="116"/>
    </row>
    <row r="96" spans="1:14">
      <c r="B96" t="s">
        <v>36</v>
      </c>
      <c r="C96" s="249">
        <v>-3953</v>
      </c>
      <c r="D96" s="249">
        <v>-2523</v>
      </c>
      <c r="E96" s="249">
        <v>-2984</v>
      </c>
      <c r="F96" s="249">
        <v>-3525</v>
      </c>
      <c r="G96" s="116"/>
      <c r="H96" s="116"/>
      <c r="I96" s="116"/>
      <c r="J96" s="116"/>
      <c r="K96" s="116"/>
      <c r="L96" s="116"/>
      <c r="M96" s="116"/>
      <c r="N96" s="116"/>
    </row>
    <row r="97" spans="2:14">
      <c r="B97" t="s">
        <v>37</v>
      </c>
      <c r="C97" s="249">
        <v>8560</v>
      </c>
      <c r="D97" s="249">
        <v>7630</v>
      </c>
      <c r="E97" s="249">
        <v>9537</v>
      </c>
      <c r="F97" s="249">
        <v>8906</v>
      </c>
      <c r="G97" s="116"/>
      <c r="H97" s="116"/>
      <c r="I97" s="116"/>
      <c r="J97" s="116"/>
      <c r="K97" s="116"/>
      <c r="L97" s="116"/>
      <c r="M97" s="116"/>
      <c r="N97" s="116"/>
    </row>
    <row r="98" spans="2:14">
      <c r="B98" t="s">
        <v>38</v>
      </c>
      <c r="C98" s="19">
        <v>14</v>
      </c>
      <c r="D98" s="18">
        <v>11.6</v>
      </c>
      <c r="E98" s="18">
        <v>12.8</v>
      </c>
      <c r="F98" s="18">
        <v>11.2</v>
      </c>
      <c r="G98" s="116"/>
      <c r="H98" s="116"/>
      <c r="I98" s="116"/>
      <c r="J98" s="116"/>
      <c r="K98" s="116"/>
      <c r="L98" s="116"/>
      <c r="M98" s="116"/>
      <c r="N98" s="116"/>
    </row>
    <row r="99" spans="2:14">
      <c r="B99" t="s">
        <v>39</v>
      </c>
      <c r="C99" s="18">
        <v>9.6</v>
      </c>
      <c r="D99" s="18">
        <v>8.6999999999999993</v>
      </c>
      <c r="E99" s="18">
        <v>9.8000000000000007</v>
      </c>
      <c r="F99" s="18">
        <v>8</v>
      </c>
      <c r="G99" s="116"/>
      <c r="H99" s="116"/>
      <c r="I99" s="116"/>
      <c r="J99" s="116"/>
      <c r="K99" s="116"/>
      <c r="L99" s="116"/>
      <c r="M99" s="116"/>
      <c r="N99" s="116"/>
    </row>
    <row r="101" spans="2:14">
      <c r="B101" t="s">
        <v>40</v>
      </c>
      <c r="G101">
        <f t="shared" ref="G101:N101" si="0">G103-G102</f>
        <v>13.32</v>
      </c>
      <c r="H101">
        <f t="shared" si="0"/>
        <v>16.579999999999998</v>
      </c>
      <c r="I101">
        <f t="shared" si="0"/>
        <v>18.899999999999999</v>
      </c>
      <c r="J101">
        <f t="shared" si="0"/>
        <v>20.36</v>
      </c>
      <c r="K101">
        <f t="shared" si="0"/>
        <v>21.93</v>
      </c>
      <c r="L101">
        <f t="shared" si="0"/>
        <v>23.509999999999998</v>
      </c>
      <c r="M101">
        <f t="shared" si="0"/>
        <v>25.22</v>
      </c>
      <c r="N101">
        <f t="shared" si="0"/>
        <v>27.07</v>
      </c>
    </row>
    <row r="102" spans="2:14">
      <c r="B102" t="s">
        <v>140</v>
      </c>
      <c r="G102">
        <f t="shared" ref="G102:N102" si="1">-G154</f>
        <v>-1.9</v>
      </c>
      <c r="H102">
        <f t="shared" si="1"/>
        <v>-1.98</v>
      </c>
      <c r="I102">
        <f t="shared" si="1"/>
        <v>-2.0099999999999998</v>
      </c>
      <c r="J102">
        <f t="shared" si="1"/>
        <v>-2.11</v>
      </c>
      <c r="K102">
        <f t="shared" si="1"/>
        <v>-2.2200000000000002</v>
      </c>
      <c r="L102">
        <f t="shared" si="1"/>
        <v>-2.2200000000000002</v>
      </c>
      <c r="M102">
        <f t="shared" si="1"/>
        <v>-2.2200000000000002</v>
      </c>
      <c r="N102">
        <f t="shared" si="1"/>
        <v>-2.2200000000000002</v>
      </c>
    </row>
    <row r="103" spans="2:14">
      <c r="B103" t="s">
        <v>41</v>
      </c>
      <c r="D103">
        <v>7.6</v>
      </c>
      <c r="E103">
        <v>9.5</v>
      </c>
      <c r="F103">
        <v>8.9</v>
      </c>
      <c r="G103">
        <v>11.42</v>
      </c>
      <c r="H103">
        <v>14.6</v>
      </c>
      <c r="I103">
        <v>16.89</v>
      </c>
      <c r="J103">
        <v>18.25</v>
      </c>
      <c r="K103">
        <v>19.71</v>
      </c>
      <c r="L103">
        <v>21.29</v>
      </c>
      <c r="M103">
        <v>23</v>
      </c>
      <c r="N103">
        <v>24.85</v>
      </c>
    </row>
    <row r="104" spans="2:14">
      <c r="B104" s="3" t="s">
        <v>141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2:14">
      <c r="B105" t="s">
        <v>142</v>
      </c>
      <c r="D105" s="18" t="s">
        <v>143</v>
      </c>
      <c r="E105" s="18" t="s">
        <v>143</v>
      </c>
      <c r="F105" s="18" t="s">
        <v>143</v>
      </c>
      <c r="G105">
        <v>1</v>
      </c>
      <c r="H105">
        <v>0.03</v>
      </c>
      <c r="I105">
        <v>0.03</v>
      </c>
      <c r="J105">
        <v>0.03</v>
      </c>
      <c r="K105">
        <v>0.03</v>
      </c>
      <c r="L105">
        <v>0.03</v>
      </c>
      <c r="M105">
        <v>0.03</v>
      </c>
      <c r="N105">
        <v>0.04</v>
      </c>
    </row>
    <row r="106" spans="2:14">
      <c r="B106" t="s">
        <v>144</v>
      </c>
      <c r="D106" s="18" t="s">
        <v>143</v>
      </c>
      <c r="E106" s="18" t="s">
        <v>143</v>
      </c>
      <c r="F106" s="18" t="s">
        <v>143</v>
      </c>
      <c r="G106">
        <v>0.17</v>
      </c>
      <c r="H106">
        <v>0.17</v>
      </c>
      <c r="I106">
        <v>0.17</v>
      </c>
      <c r="J106">
        <v>0.17</v>
      </c>
      <c r="K106">
        <v>0.17</v>
      </c>
      <c r="L106">
        <v>0.17</v>
      </c>
      <c r="M106">
        <v>0.17</v>
      </c>
      <c r="N106">
        <v>0.17</v>
      </c>
    </row>
    <row r="107" spans="2:14">
      <c r="B107" t="s">
        <v>145</v>
      </c>
      <c r="D107" s="18" t="s">
        <v>143</v>
      </c>
      <c r="E107" s="18" t="s">
        <v>143</v>
      </c>
      <c r="F107" s="18" t="s">
        <v>143</v>
      </c>
      <c r="G107">
        <v>1.69</v>
      </c>
      <c r="H107">
        <v>3.2</v>
      </c>
      <c r="I107">
        <v>2.83</v>
      </c>
      <c r="J107">
        <v>2.38</v>
      </c>
      <c r="K107">
        <v>1.87</v>
      </c>
      <c r="L107">
        <v>1.25</v>
      </c>
      <c r="M107">
        <v>0.52</v>
      </c>
      <c r="N107">
        <v>0</v>
      </c>
    </row>
    <row r="108" spans="2:14">
      <c r="B108" t="s">
        <v>146</v>
      </c>
      <c r="D108" s="18" t="s">
        <v>143</v>
      </c>
      <c r="E108" s="18" t="s">
        <v>143</v>
      </c>
      <c r="F108" s="18" t="s">
        <v>143</v>
      </c>
      <c r="G108">
        <v>0.99</v>
      </c>
      <c r="H108">
        <v>1.99</v>
      </c>
      <c r="I108">
        <v>1.99</v>
      </c>
      <c r="J108">
        <v>1.99</v>
      </c>
      <c r="K108">
        <v>1.99</v>
      </c>
      <c r="L108">
        <v>1.99</v>
      </c>
      <c r="M108">
        <v>1.99</v>
      </c>
      <c r="N108">
        <v>1.99</v>
      </c>
    </row>
    <row r="109" spans="2:14">
      <c r="B109" t="s">
        <v>147</v>
      </c>
      <c r="D109" s="18" t="s">
        <v>143</v>
      </c>
      <c r="E109" s="18" t="s">
        <v>143</v>
      </c>
      <c r="F109" s="18" t="s">
        <v>143</v>
      </c>
      <c r="G109">
        <v>0.47</v>
      </c>
      <c r="H109">
        <v>0.94</v>
      </c>
      <c r="I109">
        <v>0.94</v>
      </c>
      <c r="J109">
        <v>0.94</v>
      </c>
      <c r="K109">
        <v>0.94</v>
      </c>
      <c r="L109">
        <v>0.94</v>
      </c>
      <c r="M109">
        <v>0.94</v>
      </c>
      <c r="N109">
        <v>0.94</v>
      </c>
    </row>
    <row r="110" spans="2:14">
      <c r="B110" t="s">
        <v>148</v>
      </c>
      <c r="D110" s="18" t="s">
        <v>143</v>
      </c>
      <c r="E110" s="18" t="s">
        <v>143</v>
      </c>
      <c r="F110" s="18" t="s">
        <v>143</v>
      </c>
      <c r="G110">
        <v>-4.3199999999999994</v>
      </c>
      <c r="H110">
        <v>-6.33</v>
      </c>
      <c r="I110">
        <v>-5.9600000000000009</v>
      </c>
      <c r="J110">
        <v>-5.51</v>
      </c>
      <c r="K110">
        <v>-5</v>
      </c>
      <c r="L110">
        <v>-4.38</v>
      </c>
      <c r="M110">
        <v>-3.65</v>
      </c>
      <c r="N110">
        <v>-3.14</v>
      </c>
    </row>
    <row r="111" spans="2:14">
      <c r="D111" s="18"/>
      <c r="E111" s="18"/>
      <c r="F111" s="18"/>
    </row>
    <row r="112" spans="2:14">
      <c r="B112" t="s">
        <v>149</v>
      </c>
      <c r="D112" s="18" t="s">
        <v>143</v>
      </c>
      <c r="E112" s="18" t="s">
        <v>143</v>
      </c>
      <c r="F112" s="18" t="s">
        <v>143</v>
      </c>
      <c r="G112">
        <v>0.32</v>
      </c>
      <c r="H112">
        <v>0</v>
      </c>
      <c r="I112">
        <v>0.13</v>
      </c>
      <c r="J112">
        <v>0.25</v>
      </c>
      <c r="K112">
        <v>0.38</v>
      </c>
      <c r="L112">
        <v>0.55000000000000004</v>
      </c>
      <c r="M112">
        <v>0.74</v>
      </c>
      <c r="N112">
        <v>1.06</v>
      </c>
    </row>
    <row r="113" spans="1:24">
      <c r="B113" t="s">
        <v>150</v>
      </c>
      <c r="D113" s="18" t="s">
        <v>143</v>
      </c>
      <c r="E113" s="18" t="s">
        <v>143</v>
      </c>
      <c r="F113" s="18" t="s">
        <v>143</v>
      </c>
      <c r="G113">
        <v>-1.82</v>
      </c>
      <c r="H113">
        <v>-2.5299999999999998</v>
      </c>
      <c r="I113">
        <v>-3.38</v>
      </c>
      <c r="J113">
        <v>-3.95</v>
      </c>
      <c r="K113">
        <v>-4.58</v>
      </c>
      <c r="L113">
        <v>-5.29</v>
      </c>
      <c r="M113">
        <v>-6.08</v>
      </c>
      <c r="N113">
        <v>-6.89</v>
      </c>
    </row>
    <row r="114" spans="1:24" ht="16" thickBot="1">
      <c r="B114" s="156" t="s">
        <v>151</v>
      </c>
      <c r="C114" s="156"/>
      <c r="D114" s="248" t="s">
        <v>143</v>
      </c>
      <c r="E114" s="248" t="s">
        <v>143</v>
      </c>
      <c r="F114" s="248" t="s">
        <v>143</v>
      </c>
      <c r="G114" s="156">
        <v>5.6000000000000005</v>
      </c>
      <c r="H114" s="156">
        <v>5.74</v>
      </c>
      <c r="I114" s="156">
        <v>7.6800000000000006</v>
      </c>
      <c r="J114" s="156">
        <v>9.0399999999999991</v>
      </c>
      <c r="K114" s="156">
        <v>10.510000000000002</v>
      </c>
      <c r="L114" s="156">
        <v>12.170000000000002</v>
      </c>
      <c r="M114" s="156">
        <v>14.01</v>
      </c>
      <c r="N114" s="156">
        <v>15.879999999999999</v>
      </c>
    </row>
    <row r="115" spans="1:24" ht="16" thickTop="1"/>
    <row r="117" spans="1:24">
      <c r="A117" t="s">
        <v>13</v>
      </c>
      <c r="B117" s="244" t="s">
        <v>152</v>
      </c>
      <c r="C117" s="3"/>
      <c r="D117" s="3"/>
      <c r="E117" s="3"/>
      <c r="F117" s="3"/>
      <c r="G117" s="3"/>
      <c r="H117" s="3"/>
      <c r="I117" s="3"/>
      <c r="J117" s="3"/>
      <c r="K117" s="3"/>
      <c r="M117" s="244" t="s">
        <v>1318</v>
      </c>
      <c r="N117" s="8"/>
      <c r="O117" s="8"/>
      <c r="P117" s="8"/>
      <c r="Q117" s="8"/>
      <c r="R117" s="8"/>
      <c r="S117" s="8"/>
      <c r="T117" s="8"/>
      <c r="U117" s="8"/>
      <c r="V117" s="3"/>
      <c r="W117" s="3"/>
      <c r="X117" s="3"/>
    </row>
    <row r="119" spans="1:24">
      <c r="B119" s="5" t="s">
        <v>30</v>
      </c>
      <c r="C119" s="5" t="s">
        <v>153</v>
      </c>
      <c r="D119" s="5">
        <v>1991</v>
      </c>
      <c r="E119" s="5">
        <v>1992</v>
      </c>
      <c r="F119" s="5">
        <v>1993</v>
      </c>
      <c r="G119" s="5">
        <v>1994</v>
      </c>
      <c r="H119" s="5">
        <v>1995</v>
      </c>
      <c r="I119" s="5">
        <v>1996</v>
      </c>
      <c r="J119" s="5">
        <v>1997</v>
      </c>
      <c r="K119" s="5">
        <v>1998</v>
      </c>
      <c r="M119" s="5"/>
      <c r="N119" s="3"/>
      <c r="O119" s="3"/>
      <c r="P119" s="3"/>
      <c r="Q119" s="5">
        <v>1991</v>
      </c>
      <c r="R119" s="5">
        <v>1992</v>
      </c>
      <c r="S119" s="5">
        <v>1993</v>
      </c>
      <c r="T119" s="5">
        <v>1994</v>
      </c>
      <c r="U119" s="5">
        <v>1995</v>
      </c>
      <c r="V119" s="5">
        <v>1996</v>
      </c>
      <c r="W119" s="5">
        <v>1997</v>
      </c>
      <c r="X119" s="5">
        <v>1998</v>
      </c>
    </row>
    <row r="120" spans="1:24">
      <c r="B120" s="16" t="s">
        <v>120</v>
      </c>
      <c r="C120" s="20"/>
      <c r="M120" t="s">
        <v>1315</v>
      </c>
      <c r="Q120">
        <f t="shared" ref="Q120:X120" si="2">D121-C121</f>
        <v>4.7300000000000013</v>
      </c>
      <c r="R120">
        <f t="shared" si="2"/>
        <v>3.0700000000000003</v>
      </c>
      <c r="S120">
        <f t="shared" si="2"/>
        <v>3.3200000000000003</v>
      </c>
      <c r="T120">
        <f t="shared" si="2"/>
        <v>3.6799999999999962</v>
      </c>
      <c r="U120">
        <f t="shared" si="2"/>
        <v>4.3200000000000038</v>
      </c>
      <c r="V120">
        <f t="shared" si="2"/>
        <v>4.980000000000004</v>
      </c>
      <c r="W120">
        <f t="shared" si="2"/>
        <v>7.8200000000000038</v>
      </c>
      <c r="X120">
        <f t="shared" si="2"/>
        <v>0.18999999999999773</v>
      </c>
    </row>
    <row r="121" spans="1:24">
      <c r="B121" t="s">
        <v>121</v>
      </c>
      <c r="C121">
        <v>6.5699999999999994</v>
      </c>
      <c r="D121">
        <v>11.3</v>
      </c>
      <c r="E121">
        <v>14.370000000000001</v>
      </c>
      <c r="F121">
        <v>17.690000000000001</v>
      </c>
      <c r="G121">
        <v>21.369999999999997</v>
      </c>
      <c r="H121">
        <v>25.69</v>
      </c>
      <c r="I121">
        <v>30.670000000000005</v>
      </c>
      <c r="J121">
        <v>38.490000000000009</v>
      </c>
      <c r="K121">
        <v>38.680000000000007</v>
      </c>
      <c r="M121" t="s">
        <v>175</v>
      </c>
      <c r="Q121">
        <f t="shared" ref="Q121:X121" si="3">G196</f>
        <v>-0.15000000000000013</v>
      </c>
      <c r="R121">
        <f t="shared" si="3"/>
        <v>-0.52000000000000024</v>
      </c>
      <c r="S121">
        <f t="shared" si="3"/>
        <v>-1.19</v>
      </c>
      <c r="T121">
        <f t="shared" si="3"/>
        <v>-1.17</v>
      </c>
      <c r="U121">
        <f t="shared" si="3"/>
        <v>-1.2700000000000002</v>
      </c>
      <c r="V121">
        <f t="shared" si="3"/>
        <v>-1.3700000000000003</v>
      </c>
      <c r="W121">
        <f t="shared" si="3"/>
        <v>-1.4800000000000011</v>
      </c>
      <c r="X121">
        <f t="shared" si="3"/>
        <v>-1.6099999999999994</v>
      </c>
    </row>
    <row r="122" spans="1:24">
      <c r="B122" t="s">
        <v>122</v>
      </c>
      <c r="C122">
        <v>7.71</v>
      </c>
      <c r="D122">
        <v>10.4</v>
      </c>
      <c r="E122">
        <v>11.8</v>
      </c>
      <c r="F122">
        <v>14.440000000000001</v>
      </c>
      <c r="G122">
        <v>17.21</v>
      </c>
      <c r="H122">
        <v>20.12</v>
      </c>
      <c r="I122">
        <v>23.03</v>
      </c>
      <c r="J122">
        <v>25.94</v>
      </c>
      <c r="K122">
        <v>28.85</v>
      </c>
      <c r="M122" t="s">
        <v>1317</v>
      </c>
      <c r="Q122">
        <f t="shared" ref="Q122:X122" si="4">Q120+Q121</f>
        <v>4.580000000000001</v>
      </c>
      <c r="R122">
        <f t="shared" si="4"/>
        <v>2.5499999999999998</v>
      </c>
      <c r="S122">
        <f t="shared" si="4"/>
        <v>2.1300000000000003</v>
      </c>
      <c r="T122">
        <f t="shared" si="4"/>
        <v>2.5099999999999962</v>
      </c>
      <c r="U122">
        <f t="shared" si="4"/>
        <v>3.0500000000000034</v>
      </c>
      <c r="V122">
        <f t="shared" si="4"/>
        <v>3.6100000000000039</v>
      </c>
      <c r="W122">
        <f t="shared" si="4"/>
        <v>6.3400000000000025</v>
      </c>
      <c r="X122">
        <f t="shared" si="4"/>
        <v>-1.4200000000000017</v>
      </c>
    </row>
    <row r="123" spans="1:24">
      <c r="B123" t="s">
        <v>123</v>
      </c>
      <c r="C123">
        <v>0</v>
      </c>
      <c r="D123">
        <v>1.9</v>
      </c>
      <c r="E123">
        <v>3.88</v>
      </c>
      <c r="F123">
        <v>5.89</v>
      </c>
      <c r="G123">
        <v>8</v>
      </c>
      <c r="H123">
        <v>10.220000000000001</v>
      </c>
      <c r="I123">
        <v>12.440000000000001</v>
      </c>
      <c r="J123">
        <v>14.660000000000002</v>
      </c>
      <c r="K123">
        <v>16.880000000000003</v>
      </c>
      <c r="M123" t="s">
        <v>1345</v>
      </c>
      <c r="Q123" s="24">
        <f t="shared" ref="Q123:X123" si="5">G260</f>
        <v>3.3356500000000002</v>
      </c>
      <c r="R123" s="24">
        <f t="shared" si="5"/>
        <v>2.5356500000000004</v>
      </c>
      <c r="S123" s="24">
        <f t="shared" si="5"/>
        <v>1.6600000000000001</v>
      </c>
      <c r="T123" s="24">
        <f t="shared" si="5"/>
        <v>2.5099999999999989</v>
      </c>
      <c r="U123" s="24">
        <f t="shared" si="5"/>
        <v>3.0500000000000007</v>
      </c>
      <c r="V123" s="24">
        <f t="shared" si="5"/>
        <v>3.6100000000000012</v>
      </c>
      <c r="W123" s="24">
        <f t="shared" si="5"/>
        <v>6.34</v>
      </c>
      <c r="X123" s="24">
        <f t="shared" si="5"/>
        <v>-1.42</v>
      </c>
    </row>
    <row r="124" spans="1:24">
      <c r="B124" t="s">
        <v>124</v>
      </c>
      <c r="C124">
        <v>7.71</v>
      </c>
      <c r="D124">
        <v>8.5</v>
      </c>
      <c r="E124">
        <v>7.9200000000000008</v>
      </c>
      <c r="F124">
        <v>8.5500000000000007</v>
      </c>
      <c r="G124">
        <v>9.2100000000000009</v>
      </c>
      <c r="H124">
        <v>9.9</v>
      </c>
      <c r="I124">
        <v>10.59</v>
      </c>
      <c r="J124">
        <v>11.28</v>
      </c>
      <c r="K124">
        <v>11.969999999999999</v>
      </c>
    </row>
    <row r="125" spans="1:24">
      <c r="B125" t="s">
        <v>125</v>
      </c>
      <c r="C125">
        <v>2.42</v>
      </c>
      <c r="D125">
        <v>2.42</v>
      </c>
      <c r="E125">
        <v>2.42</v>
      </c>
      <c r="F125">
        <v>2.42</v>
      </c>
      <c r="G125">
        <v>2.42</v>
      </c>
      <c r="H125">
        <v>2.42</v>
      </c>
      <c r="I125">
        <v>2.42</v>
      </c>
      <c r="J125">
        <v>2.42</v>
      </c>
      <c r="K125">
        <v>2.42</v>
      </c>
      <c r="M125" s="55" t="s">
        <v>1319</v>
      </c>
    </row>
    <row r="126" spans="1:24">
      <c r="B126" t="s">
        <v>126</v>
      </c>
      <c r="C126">
        <v>45.93</v>
      </c>
      <c r="D126">
        <v>45.93</v>
      </c>
      <c r="E126">
        <v>45.93</v>
      </c>
      <c r="F126">
        <v>45.93</v>
      </c>
      <c r="G126">
        <v>45.93</v>
      </c>
      <c r="H126">
        <v>45.93</v>
      </c>
      <c r="I126">
        <v>45.93</v>
      </c>
      <c r="J126">
        <v>45.93</v>
      </c>
      <c r="K126">
        <v>45.93</v>
      </c>
    </row>
    <row r="127" spans="1:24">
      <c r="B127" t="s">
        <v>127</v>
      </c>
      <c r="C127">
        <v>7.5</v>
      </c>
      <c r="D127">
        <v>7.5</v>
      </c>
      <c r="E127">
        <v>7.5</v>
      </c>
      <c r="F127">
        <v>7.5</v>
      </c>
      <c r="G127">
        <v>7.5</v>
      </c>
      <c r="H127">
        <v>7.5</v>
      </c>
      <c r="I127">
        <v>7.5</v>
      </c>
      <c r="J127">
        <v>7.5</v>
      </c>
      <c r="K127">
        <v>7.5</v>
      </c>
      <c r="M127" t="s">
        <v>1344</v>
      </c>
      <c r="Q127" s="24">
        <f>Q123</f>
        <v>3.3356500000000002</v>
      </c>
      <c r="R127" s="24">
        <f t="shared" ref="R127:X127" si="6">R123+Q127</f>
        <v>5.8713000000000006</v>
      </c>
      <c r="S127" s="24">
        <f t="shared" si="6"/>
        <v>7.5313000000000008</v>
      </c>
      <c r="T127" s="24">
        <f t="shared" si="6"/>
        <v>10.0413</v>
      </c>
      <c r="U127" s="24">
        <f t="shared" si="6"/>
        <v>13.0913</v>
      </c>
      <c r="V127" s="24">
        <f t="shared" si="6"/>
        <v>16.701300000000003</v>
      </c>
      <c r="W127" s="24">
        <f t="shared" si="6"/>
        <v>23.041300000000003</v>
      </c>
      <c r="X127" s="24">
        <f t="shared" si="6"/>
        <v>21.621300000000005</v>
      </c>
    </row>
    <row r="128" spans="1:24" ht="16" thickBot="1">
      <c r="B128" s="238" t="s">
        <v>128</v>
      </c>
      <c r="C128" s="238">
        <v>70.13</v>
      </c>
      <c r="D128" s="238">
        <v>75.650000000000006</v>
      </c>
      <c r="E128" s="238">
        <v>78.14</v>
      </c>
      <c r="F128" s="238">
        <v>82.09</v>
      </c>
      <c r="G128" s="238">
        <v>86.43</v>
      </c>
      <c r="H128" s="238">
        <v>91.44</v>
      </c>
      <c r="I128" s="238">
        <v>97.110000000000014</v>
      </c>
      <c r="J128" s="238">
        <v>105.62</v>
      </c>
      <c r="K128" s="238">
        <v>106.5</v>
      </c>
      <c r="M128" t="s">
        <v>1343</v>
      </c>
      <c r="Q128">
        <v>0.32</v>
      </c>
      <c r="R128">
        <v>0</v>
      </c>
      <c r="S128">
        <v>0.13</v>
      </c>
      <c r="T128">
        <v>0.25</v>
      </c>
      <c r="U128">
        <v>0.38</v>
      </c>
      <c r="V128">
        <v>0.55000000000000004</v>
      </c>
      <c r="W128">
        <v>0.74</v>
      </c>
      <c r="X128">
        <v>1.06</v>
      </c>
    </row>
    <row r="129" spans="2:24" ht="16" thickTop="1">
      <c r="M129" t="s">
        <v>1346</v>
      </c>
      <c r="Q129" s="44">
        <f>Q128/Q127</f>
        <v>9.5933326338194944E-2</v>
      </c>
      <c r="R129" s="44">
        <f t="shared" ref="R129:X129" si="7">R128/R127</f>
        <v>0</v>
      </c>
      <c r="S129" s="44">
        <f t="shared" si="7"/>
        <v>1.7261296190564709E-2</v>
      </c>
      <c r="T129" s="44">
        <f t="shared" si="7"/>
        <v>2.4897174668618606E-2</v>
      </c>
      <c r="U129" s="44">
        <f t="shared" si="7"/>
        <v>2.9026911001963137E-2</v>
      </c>
      <c r="V129" s="44">
        <f t="shared" si="7"/>
        <v>3.2931568201277739E-2</v>
      </c>
      <c r="W129" s="44">
        <f t="shared" si="7"/>
        <v>3.2116243441125278E-2</v>
      </c>
      <c r="X129" s="44">
        <f t="shared" si="7"/>
        <v>4.9025729257722701E-2</v>
      </c>
    </row>
    <row r="130" spans="2:24">
      <c r="B130" s="16" t="s">
        <v>129</v>
      </c>
      <c r="M130" t="s">
        <v>1349</v>
      </c>
      <c r="Q130" s="37">
        <f>AVERAGE(Q129:X129)</f>
        <v>3.5149031137433388E-2</v>
      </c>
    </row>
    <row r="131" spans="2:24">
      <c r="B131" t="s">
        <v>130</v>
      </c>
      <c r="C131">
        <v>0.28999999999999998</v>
      </c>
      <c r="D131">
        <v>0.28999999999999998</v>
      </c>
      <c r="E131">
        <v>0.28999999999999998</v>
      </c>
      <c r="F131">
        <v>0.28999999999999998</v>
      </c>
      <c r="G131">
        <v>0.28999999999999998</v>
      </c>
      <c r="H131">
        <v>0.28999999999999998</v>
      </c>
      <c r="I131">
        <v>0.28999999999999998</v>
      </c>
      <c r="J131">
        <v>0.28999999999999998</v>
      </c>
      <c r="K131">
        <v>0.28999999999999998</v>
      </c>
    </row>
    <row r="132" spans="2:24">
      <c r="B132" t="s">
        <v>131</v>
      </c>
      <c r="C132">
        <v>0</v>
      </c>
      <c r="D132">
        <v>1.7</v>
      </c>
      <c r="E132">
        <v>1.7</v>
      </c>
      <c r="F132">
        <v>1.7</v>
      </c>
      <c r="G132">
        <v>1.7</v>
      </c>
      <c r="H132">
        <v>1.7</v>
      </c>
      <c r="I132">
        <v>1.7</v>
      </c>
      <c r="J132">
        <v>1.7</v>
      </c>
      <c r="K132">
        <v>1.7</v>
      </c>
    </row>
    <row r="133" spans="2:24">
      <c r="B133" t="s">
        <v>132</v>
      </c>
      <c r="C133">
        <v>32</v>
      </c>
      <c r="D133">
        <v>30</v>
      </c>
      <c r="E133">
        <v>26</v>
      </c>
      <c r="F133">
        <v>22</v>
      </c>
      <c r="G133">
        <v>17.5</v>
      </c>
      <c r="H133">
        <v>12</v>
      </c>
      <c r="I133">
        <v>5.5</v>
      </c>
      <c r="J133">
        <v>0</v>
      </c>
      <c r="K133">
        <v>0</v>
      </c>
    </row>
    <row r="134" spans="2:24">
      <c r="B134" t="s">
        <v>133</v>
      </c>
      <c r="C134">
        <v>15</v>
      </c>
      <c r="D134">
        <v>15</v>
      </c>
      <c r="E134">
        <v>15</v>
      </c>
      <c r="F134">
        <v>15</v>
      </c>
      <c r="G134">
        <v>15</v>
      </c>
      <c r="H134">
        <v>15</v>
      </c>
      <c r="I134">
        <v>15</v>
      </c>
      <c r="J134">
        <v>15</v>
      </c>
      <c r="K134">
        <v>0</v>
      </c>
    </row>
    <row r="135" spans="2:24">
      <c r="B135" t="s">
        <v>134</v>
      </c>
      <c r="C135">
        <v>11</v>
      </c>
      <c r="D135">
        <v>11.47</v>
      </c>
      <c r="E135">
        <v>12.41</v>
      </c>
      <c r="F135">
        <v>12.88</v>
      </c>
      <c r="G135">
        <v>12.88</v>
      </c>
      <c r="H135">
        <v>12.88</v>
      </c>
      <c r="I135">
        <v>12.88</v>
      </c>
      <c r="J135">
        <v>12.88</v>
      </c>
      <c r="K135">
        <v>12.88</v>
      </c>
    </row>
    <row r="136" spans="2:24">
      <c r="B136" t="s">
        <v>135</v>
      </c>
      <c r="C136">
        <v>58.29</v>
      </c>
      <c r="D136">
        <v>58.459999999999994</v>
      </c>
      <c r="E136">
        <v>55.399999999999991</v>
      </c>
      <c r="F136">
        <v>51.87</v>
      </c>
      <c r="G136">
        <v>47.37</v>
      </c>
      <c r="H136">
        <v>41.870000000000005</v>
      </c>
      <c r="I136">
        <v>35.370000000000005</v>
      </c>
      <c r="J136">
        <v>29.869999999999997</v>
      </c>
      <c r="K136">
        <v>14.870000000000001</v>
      </c>
    </row>
    <row r="137" spans="2:24">
      <c r="B137" t="s">
        <v>136</v>
      </c>
      <c r="C137">
        <v>0.84</v>
      </c>
      <c r="D137">
        <v>0.59</v>
      </c>
      <c r="E137">
        <v>0.39999999999999997</v>
      </c>
      <c r="F137">
        <v>0.19999999999999996</v>
      </c>
      <c r="G137">
        <v>0</v>
      </c>
      <c r="H137">
        <v>0</v>
      </c>
      <c r="I137">
        <v>0</v>
      </c>
      <c r="J137">
        <v>0</v>
      </c>
      <c r="K137">
        <v>0</v>
      </c>
    </row>
    <row r="138" spans="2:24">
      <c r="B138" t="s">
        <v>97</v>
      </c>
      <c r="C138">
        <v>11</v>
      </c>
      <c r="D138">
        <v>16.600000000000012</v>
      </c>
      <c r="E138">
        <v>22.340000000000011</v>
      </c>
      <c r="F138">
        <v>30.020000000000007</v>
      </c>
      <c r="G138">
        <v>39.060000000000009</v>
      </c>
      <c r="H138">
        <v>49.569999999999993</v>
      </c>
      <c r="I138">
        <v>61.740000000000009</v>
      </c>
      <c r="J138">
        <v>75.75</v>
      </c>
      <c r="K138">
        <v>91.63</v>
      </c>
    </row>
    <row r="139" spans="2:24" ht="16" thickBot="1">
      <c r="B139" s="238" t="s">
        <v>137</v>
      </c>
      <c r="C139" s="238">
        <v>70.13</v>
      </c>
      <c r="D139" s="238">
        <v>75.650000000000006</v>
      </c>
      <c r="E139" s="238">
        <v>78.14</v>
      </c>
      <c r="F139" s="238">
        <v>82.09</v>
      </c>
      <c r="G139" s="238">
        <v>86.43</v>
      </c>
      <c r="H139" s="238">
        <v>91.44</v>
      </c>
      <c r="I139" s="238">
        <v>97.110000000000014</v>
      </c>
      <c r="J139" s="238">
        <v>105.62</v>
      </c>
      <c r="K139" s="238">
        <v>106.5</v>
      </c>
    </row>
    <row r="140" spans="2:24" ht="16" thickTop="1"/>
    <row r="141" spans="2:24">
      <c r="B141" t="s">
        <v>154</v>
      </c>
      <c r="C141" s="24">
        <v>4.9231418918918921</v>
      </c>
      <c r="D141" s="24">
        <v>3.4008144269924347</v>
      </c>
      <c r="E141" s="24">
        <v>2.4362357080035166</v>
      </c>
      <c r="F141" s="24">
        <v>1.7164129715420247</v>
      </c>
      <c r="G141" s="24">
        <v>1.2127496159754221</v>
      </c>
      <c r="H141" s="24">
        <v>0.84466411135767627</v>
      </c>
      <c r="I141" s="24">
        <v>0.57288629737609331</v>
      </c>
      <c r="J141" s="24">
        <v>0.3943234323432343</v>
      </c>
      <c r="K141" s="24">
        <v>0.16228309505620431</v>
      </c>
    </row>
    <row r="142" spans="2:24">
      <c r="B142" t="s">
        <v>155</v>
      </c>
      <c r="C142" s="24"/>
      <c r="D142" s="24">
        <v>4.1619781594421639</v>
      </c>
      <c r="E142" s="24">
        <v>2.9185250674979759</v>
      </c>
      <c r="F142" s="24">
        <v>2.0763243397727704</v>
      </c>
      <c r="G142" s="24">
        <v>1.4645812937587235</v>
      </c>
      <c r="H142" s="24">
        <v>1.0287068636665491</v>
      </c>
      <c r="I142" s="24">
        <v>0.70877520436688479</v>
      </c>
      <c r="J142" s="24">
        <v>0.48360486485966381</v>
      </c>
      <c r="K142" s="24">
        <v>0.27830326369971931</v>
      </c>
    </row>
    <row r="143" spans="2:24">
      <c r="C143" s="24"/>
      <c r="D143" s="24"/>
      <c r="E143" s="24"/>
      <c r="F143" s="24"/>
      <c r="G143" s="24"/>
      <c r="H143" s="24"/>
      <c r="I143" s="24"/>
      <c r="J143" s="24"/>
      <c r="K143" s="24"/>
    </row>
    <row r="144" spans="2:24">
      <c r="B144" t="s">
        <v>156</v>
      </c>
      <c r="C144" s="24"/>
      <c r="D144" s="24">
        <v>2.643518518518519</v>
      </c>
      <c r="E144" s="24">
        <v>2.3064770932069512</v>
      </c>
      <c r="F144" s="24">
        <v>2.8338926174496639</v>
      </c>
      <c r="G144" s="24">
        <v>3.3121597096188751</v>
      </c>
      <c r="H144" s="24">
        <v>3.9420000000000002</v>
      </c>
      <c r="I144" s="24">
        <v>4.8607305936073057</v>
      </c>
      <c r="J144" s="24">
        <v>6.3013698630136989</v>
      </c>
      <c r="K144" s="24">
        <v>7.9140127388535033</v>
      </c>
    </row>
    <row r="145" spans="1:14">
      <c r="B145" t="s">
        <v>157</v>
      </c>
      <c r="C145" s="24"/>
      <c r="D145" s="24">
        <v>2.4718614718614722</v>
      </c>
      <c r="E145" s="24">
        <v>1.4133591481122942</v>
      </c>
      <c r="F145" s="24">
        <v>1.6957831325301205</v>
      </c>
      <c r="G145" s="24">
        <v>1.8231768231768233</v>
      </c>
      <c r="H145" s="24">
        <v>1.8771428571428572</v>
      </c>
      <c r="I145" s="24">
        <v>1.9568014705882355</v>
      </c>
      <c r="J145" s="24">
        <v>2.513661202185792</v>
      </c>
      <c r="K145" s="24">
        <v>1.3699007717750826</v>
      </c>
    </row>
    <row r="148" spans="1:14">
      <c r="A148" t="s">
        <v>13</v>
      </c>
      <c r="B148" s="244" t="s">
        <v>158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50" spans="1:14">
      <c r="B150" s="5" t="s">
        <v>30</v>
      </c>
      <c r="C150" s="5">
        <v>1987</v>
      </c>
      <c r="D150" s="5" t="s">
        <v>139</v>
      </c>
      <c r="E150" s="5">
        <v>1989</v>
      </c>
      <c r="F150" s="5">
        <v>1990</v>
      </c>
      <c r="G150" s="5">
        <v>1991</v>
      </c>
      <c r="H150" s="5">
        <v>1992</v>
      </c>
      <c r="I150" s="5">
        <v>1993</v>
      </c>
      <c r="J150" s="5">
        <v>1994</v>
      </c>
      <c r="K150" s="5">
        <v>1995</v>
      </c>
      <c r="L150" s="5">
        <v>1996</v>
      </c>
      <c r="M150" s="5">
        <v>1997</v>
      </c>
      <c r="N150" s="5">
        <v>1998</v>
      </c>
    </row>
    <row r="151" spans="1:14">
      <c r="B151" t="s">
        <v>41</v>
      </c>
      <c r="G151">
        <v>11.42</v>
      </c>
      <c r="H151">
        <v>14.6</v>
      </c>
      <c r="I151">
        <v>16.89</v>
      </c>
      <c r="J151">
        <v>18.25</v>
      </c>
      <c r="K151">
        <v>19.71</v>
      </c>
      <c r="L151">
        <v>21.29</v>
      </c>
      <c r="M151">
        <v>23</v>
      </c>
      <c r="N151">
        <v>24.85</v>
      </c>
    </row>
    <row r="152" spans="1:14">
      <c r="B152" t="s">
        <v>42</v>
      </c>
      <c r="G152">
        <v>-2.855</v>
      </c>
      <c r="H152">
        <v>-4.5259999999999998</v>
      </c>
      <c r="I152">
        <v>-5.2359</v>
      </c>
      <c r="J152">
        <v>-5.4749999999999996</v>
      </c>
      <c r="K152">
        <v>-5.9130000000000003</v>
      </c>
      <c r="L152">
        <v>-6.3869999999999996</v>
      </c>
      <c r="M152">
        <v>-6.8999999999999995</v>
      </c>
      <c r="N152">
        <v>-7.4550000000000001</v>
      </c>
    </row>
    <row r="153" spans="1:14">
      <c r="B153" s="242" t="s">
        <v>43</v>
      </c>
      <c r="C153" s="242"/>
      <c r="D153" s="242"/>
      <c r="E153" s="242"/>
      <c r="F153" s="242"/>
      <c r="G153" s="242">
        <v>8.5649999999999995</v>
      </c>
      <c r="H153" s="242">
        <v>10.074</v>
      </c>
      <c r="I153" s="242">
        <v>11.6541</v>
      </c>
      <c r="J153" s="242">
        <v>12.775</v>
      </c>
      <c r="K153" s="242">
        <v>13.797000000000001</v>
      </c>
      <c r="L153" s="242">
        <v>14.902999999999999</v>
      </c>
      <c r="M153" s="242">
        <v>16.100000000000001</v>
      </c>
      <c r="N153" s="242">
        <v>17.395000000000003</v>
      </c>
    </row>
    <row r="154" spans="1:14">
      <c r="B154" t="s">
        <v>45</v>
      </c>
      <c r="G154">
        <v>1.9</v>
      </c>
      <c r="H154">
        <v>1.98</v>
      </c>
      <c r="I154">
        <v>2.0099999999999998</v>
      </c>
      <c r="J154">
        <v>2.11</v>
      </c>
      <c r="K154">
        <v>2.2200000000000002</v>
      </c>
      <c r="L154">
        <v>2.2200000000000002</v>
      </c>
      <c r="M154">
        <v>2.2200000000000002</v>
      </c>
      <c r="N154">
        <v>2.2200000000000002</v>
      </c>
    </row>
    <row r="155" spans="1:14">
      <c r="B155" t="s">
        <v>46</v>
      </c>
      <c r="G155">
        <v>-0.25</v>
      </c>
      <c r="H155">
        <v>-0.19</v>
      </c>
      <c r="I155">
        <v>-0.2</v>
      </c>
      <c r="J155">
        <v>-0.2</v>
      </c>
      <c r="K155">
        <v>0</v>
      </c>
      <c r="L155">
        <v>0</v>
      </c>
      <c r="M155">
        <v>0</v>
      </c>
      <c r="N155">
        <v>0</v>
      </c>
    </row>
    <row r="156" spans="1:14">
      <c r="B156" t="s">
        <v>47</v>
      </c>
      <c r="G156">
        <v>-2.69</v>
      </c>
      <c r="H156">
        <v>-1.4</v>
      </c>
      <c r="I156">
        <v>-2.64</v>
      </c>
      <c r="J156">
        <v>-2.77</v>
      </c>
      <c r="K156">
        <v>-2.91</v>
      </c>
      <c r="L156">
        <v>-2.91</v>
      </c>
      <c r="M156">
        <v>-2.91</v>
      </c>
      <c r="N156">
        <v>-2.91</v>
      </c>
    </row>
    <row r="157" spans="1:14">
      <c r="B157" t="s">
        <v>50</v>
      </c>
      <c r="G157">
        <v>-0.02</v>
      </c>
      <c r="H157">
        <v>-2.2400000000000002</v>
      </c>
      <c r="I157">
        <v>-2.73</v>
      </c>
      <c r="J157">
        <v>-2.95</v>
      </c>
      <c r="K157">
        <v>-3.19</v>
      </c>
      <c r="L157">
        <v>-3.44</v>
      </c>
      <c r="M157">
        <v>-3.72</v>
      </c>
      <c r="N157">
        <v>-4.0199999999999996</v>
      </c>
    </row>
    <row r="158" spans="1:14">
      <c r="B158" t="s">
        <v>51</v>
      </c>
      <c r="G158">
        <v>0.17</v>
      </c>
      <c r="H158">
        <v>-0.23</v>
      </c>
      <c r="I158">
        <v>-0.32</v>
      </c>
      <c r="J158">
        <v>-0.4</v>
      </c>
      <c r="K158">
        <v>-0.43</v>
      </c>
      <c r="L158">
        <v>-0.46</v>
      </c>
      <c r="M158">
        <v>-0.5</v>
      </c>
      <c r="N158">
        <v>-0.54</v>
      </c>
    </row>
    <row r="159" spans="1:14">
      <c r="B159" t="s">
        <v>52</v>
      </c>
      <c r="G159">
        <v>0.4</v>
      </c>
      <c r="H159">
        <v>-0.12</v>
      </c>
      <c r="I159">
        <v>-0.14000000000000001</v>
      </c>
      <c r="J159">
        <v>-0.15</v>
      </c>
      <c r="K159">
        <v>-0.16</v>
      </c>
      <c r="L159">
        <v>-0.18</v>
      </c>
      <c r="M159">
        <v>-0.19</v>
      </c>
      <c r="N159">
        <v>-0.21</v>
      </c>
    </row>
    <row r="160" spans="1:14">
      <c r="B160" t="s">
        <v>53</v>
      </c>
      <c r="G160">
        <v>0.18</v>
      </c>
      <c r="H160">
        <v>0.8</v>
      </c>
      <c r="I160">
        <v>1.1499999999999999</v>
      </c>
      <c r="J160">
        <v>1.41</v>
      </c>
      <c r="K160">
        <v>1.52</v>
      </c>
      <c r="L160">
        <v>1.64</v>
      </c>
      <c r="M160">
        <v>1.77</v>
      </c>
      <c r="N160">
        <v>1.91</v>
      </c>
    </row>
    <row r="161" spans="1:14">
      <c r="B161" t="s">
        <v>54</v>
      </c>
      <c r="G161">
        <v>0.45</v>
      </c>
      <c r="H161">
        <v>0.56999999999999995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</row>
    <row r="162" spans="1:14">
      <c r="B162" t="s">
        <v>55</v>
      </c>
      <c r="G162">
        <v>-1.33</v>
      </c>
      <c r="H162">
        <v>0.7</v>
      </c>
      <c r="I162">
        <v>0.85</v>
      </c>
      <c r="J162">
        <v>0.92</v>
      </c>
      <c r="K162">
        <v>0.99</v>
      </c>
      <c r="L162">
        <v>1.07</v>
      </c>
      <c r="M162">
        <v>1.1599999999999999</v>
      </c>
      <c r="N162">
        <v>1.25</v>
      </c>
    </row>
    <row r="163" spans="1:14" ht="16" thickBot="1">
      <c r="B163" s="238" t="s">
        <v>159</v>
      </c>
      <c r="C163" s="238"/>
      <c r="D163" s="238"/>
      <c r="E163" s="238"/>
      <c r="F163" s="238"/>
      <c r="G163" s="238">
        <v>7.375</v>
      </c>
      <c r="H163" s="238">
        <v>9.9439999999999991</v>
      </c>
      <c r="I163" s="238">
        <v>9.6340999999999983</v>
      </c>
      <c r="J163" s="238">
        <v>10.744999999999999</v>
      </c>
      <c r="K163" s="238">
        <v>11.837</v>
      </c>
      <c r="L163" s="238">
        <v>12.842999999999998</v>
      </c>
      <c r="M163" s="238">
        <v>13.93</v>
      </c>
      <c r="N163" s="238">
        <v>15.095000000000002</v>
      </c>
    </row>
    <row r="164" spans="1:14" ht="16" thickTop="1"/>
    <row r="167" spans="1:14">
      <c r="B167" s="244" t="s">
        <v>160</v>
      </c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>
      <c r="B168" t="s">
        <v>161</v>
      </c>
      <c r="G168">
        <v>4.3199999999999994</v>
      </c>
      <c r="H168">
        <v>6.33</v>
      </c>
      <c r="I168">
        <v>5.9600000000000009</v>
      </c>
      <c r="J168">
        <v>5.51</v>
      </c>
      <c r="K168">
        <v>5</v>
      </c>
      <c r="L168">
        <v>4.38</v>
      </c>
      <c r="M168">
        <v>3.65</v>
      </c>
      <c r="N168">
        <v>3.14</v>
      </c>
    </row>
    <row r="169" spans="1:14">
      <c r="B169" t="s">
        <v>162</v>
      </c>
      <c r="G169">
        <v>-0.32</v>
      </c>
      <c r="H169">
        <v>0</v>
      </c>
      <c r="I169">
        <v>-0.13</v>
      </c>
      <c r="J169">
        <v>-0.25</v>
      </c>
      <c r="K169">
        <v>-0.38</v>
      </c>
      <c r="L169">
        <v>-0.55000000000000004</v>
      </c>
      <c r="M169">
        <v>-0.74</v>
      </c>
      <c r="N169">
        <v>-1.06</v>
      </c>
    </row>
    <row r="170" spans="1:14">
      <c r="B170" s="111" t="s">
        <v>163</v>
      </c>
      <c r="C170" s="111"/>
      <c r="D170" s="111"/>
      <c r="E170" s="111"/>
      <c r="F170" s="111"/>
      <c r="G170" s="111">
        <v>-0.47</v>
      </c>
      <c r="H170" s="111">
        <v>-0.94</v>
      </c>
      <c r="I170" s="111">
        <v>-0.47</v>
      </c>
      <c r="J170" s="111">
        <v>0</v>
      </c>
      <c r="K170" s="111">
        <v>0</v>
      </c>
      <c r="L170" s="111">
        <v>0</v>
      </c>
      <c r="M170" s="111">
        <v>0</v>
      </c>
      <c r="N170" s="111">
        <v>0</v>
      </c>
    </row>
    <row r="171" spans="1:14">
      <c r="B171" t="s">
        <v>164</v>
      </c>
      <c r="G171">
        <v>3.5299999999999994</v>
      </c>
      <c r="H171">
        <v>5.3900000000000006</v>
      </c>
      <c r="I171">
        <v>5.3600000000000012</v>
      </c>
      <c r="J171">
        <v>5.26</v>
      </c>
      <c r="K171">
        <v>4.62</v>
      </c>
      <c r="L171">
        <v>3.83</v>
      </c>
      <c r="M171">
        <v>2.91</v>
      </c>
      <c r="N171">
        <v>2.08</v>
      </c>
    </row>
    <row r="172" spans="1:14">
      <c r="B172" t="s">
        <v>165</v>
      </c>
      <c r="G172" s="24">
        <v>0.88249999999999984</v>
      </c>
      <c r="H172" s="24">
        <v>1.6709000000000003</v>
      </c>
      <c r="I172" s="24">
        <v>1.6616000000000004</v>
      </c>
      <c r="J172" s="24">
        <v>1.5779999999999998</v>
      </c>
      <c r="K172" s="24">
        <v>1.3859999999999999</v>
      </c>
      <c r="L172" s="24">
        <v>1.149</v>
      </c>
      <c r="M172" s="24">
        <v>0.873</v>
      </c>
      <c r="N172" s="24">
        <v>0.624</v>
      </c>
    </row>
    <row r="173" spans="1:14">
      <c r="B173" t="s">
        <v>28</v>
      </c>
      <c r="G173">
        <f>G172/G171</f>
        <v>0.25</v>
      </c>
      <c r="H173">
        <f t="shared" ref="H173:N173" si="8">H172/H171</f>
        <v>0.31</v>
      </c>
      <c r="I173">
        <f t="shared" si="8"/>
        <v>0.31</v>
      </c>
      <c r="J173">
        <f t="shared" si="8"/>
        <v>0.3</v>
      </c>
      <c r="K173">
        <f t="shared" si="8"/>
        <v>0.3</v>
      </c>
      <c r="L173">
        <f t="shared" si="8"/>
        <v>0.3</v>
      </c>
      <c r="M173">
        <f t="shared" si="8"/>
        <v>0.3</v>
      </c>
      <c r="N173">
        <f t="shared" si="8"/>
        <v>0.3</v>
      </c>
    </row>
    <row r="175" spans="1:14">
      <c r="A175" s="76" t="s">
        <v>13</v>
      </c>
      <c r="B175" s="244" t="s">
        <v>166</v>
      </c>
      <c r="C175" s="8"/>
      <c r="D175" s="8"/>
      <c r="E175" s="8"/>
      <c r="F175" s="8"/>
      <c r="G175" s="8"/>
      <c r="H175" s="8"/>
      <c r="I175" s="8"/>
      <c r="J175" s="8"/>
      <c r="K175" s="8"/>
      <c r="L175" s="3"/>
      <c r="M175" s="3"/>
      <c r="N175" s="3"/>
    </row>
    <row r="176" spans="1:14">
      <c r="B176" s="16"/>
      <c r="C176" s="16"/>
      <c r="D176" s="16"/>
      <c r="E176" s="16"/>
      <c r="F176" s="16"/>
      <c r="G176" s="16"/>
    </row>
    <row r="177" spans="1:14">
      <c r="B177" s="5" t="s">
        <v>30</v>
      </c>
      <c r="C177" s="5"/>
      <c r="D177" s="5"/>
      <c r="E177" s="5"/>
      <c r="F177" s="5" t="s">
        <v>167</v>
      </c>
      <c r="G177" s="5">
        <v>1991</v>
      </c>
      <c r="H177" s="5">
        <v>1992</v>
      </c>
      <c r="I177" s="5">
        <v>1993</v>
      </c>
      <c r="J177" s="5">
        <v>1994</v>
      </c>
      <c r="K177" s="5">
        <v>1995</v>
      </c>
      <c r="L177" s="5">
        <v>1996</v>
      </c>
      <c r="M177" s="5">
        <v>1997</v>
      </c>
      <c r="N177" s="5">
        <v>1998</v>
      </c>
    </row>
    <row r="178" spans="1:14">
      <c r="B178" t="s">
        <v>122</v>
      </c>
      <c r="F178">
        <v>7.71</v>
      </c>
      <c r="G178">
        <v>10.4</v>
      </c>
      <c r="H178">
        <v>11.8</v>
      </c>
      <c r="I178">
        <v>14.440000000000001</v>
      </c>
      <c r="J178">
        <v>17.21</v>
      </c>
      <c r="K178">
        <v>20.12</v>
      </c>
      <c r="L178">
        <v>23.03</v>
      </c>
      <c r="M178">
        <v>25.94</v>
      </c>
      <c r="N178">
        <v>28.85</v>
      </c>
    </row>
    <row r="179" spans="1:14">
      <c r="B179" t="s">
        <v>123</v>
      </c>
      <c r="F179">
        <v>0</v>
      </c>
      <c r="G179">
        <v>1.9</v>
      </c>
      <c r="H179">
        <f t="shared" ref="H179:N179" si="9">G179+H181*-1</f>
        <v>3.88</v>
      </c>
      <c r="I179">
        <f t="shared" si="9"/>
        <v>5.89</v>
      </c>
      <c r="J179">
        <f t="shared" si="9"/>
        <v>8</v>
      </c>
      <c r="K179">
        <f t="shared" si="9"/>
        <v>10.220000000000001</v>
      </c>
      <c r="L179">
        <f t="shared" si="9"/>
        <v>12.440000000000001</v>
      </c>
      <c r="M179">
        <f t="shared" si="9"/>
        <v>14.660000000000002</v>
      </c>
      <c r="N179">
        <f t="shared" si="9"/>
        <v>16.880000000000003</v>
      </c>
    </row>
    <row r="180" spans="1:14">
      <c r="B180" s="6" t="s">
        <v>168</v>
      </c>
      <c r="C180" s="6"/>
      <c r="D180" s="6"/>
      <c r="E180" s="6"/>
      <c r="F180" s="6">
        <v>7.71</v>
      </c>
      <c r="G180" s="6">
        <v>8.5</v>
      </c>
      <c r="H180" s="6">
        <v>7.9200000000000008</v>
      </c>
      <c r="I180" s="6">
        <v>8.5500000000000007</v>
      </c>
      <c r="J180" s="6">
        <v>9.2100000000000009</v>
      </c>
      <c r="K180" s="6">
        <v>9.9</v>
      </c>
      <c r="L180" s="6">
        <v>10.59</v>
      </c>
      <c r="M180" s="6">
        <v>11.28</v>
      </c>
      <c r="N180" s="6">
        <v>11.969999999999999</v>
      </c>
    </row>
    <row r="181" spans="1:14">
      <c r="B181" t="s">
        <v>169</v>
      </c>
      <c r="G181">
        <f t="shared" ref="G181:N181" si="10">(G154)*-1</f>
        <v>-1.9</v>
      </c>
      <c r="H181">
        <f t="shared" si="10"/>
        <v>-1.98</v>
      </c>
      <c r="I181">
        <f t="shared" si="10"/>
        <v>-2.0099999999999998</v>
      </c>
      <c r="J181">
        <f t="shared" si="10"/>
        <v>-2.11</v>
      </c>
      <c r="K181">
        <f t="shared" si="10"/>
        <v>-2.2200000000000002</v>
      </c>
      <c r="L181">
        <f t="shared" si="10"/>
        <v>-2.2200000000000002</v>
      </c>
      <c r="M181">
        <f t="shared" si="10"/>
        <v>-2.2200000000000002</v>
      </c>
      <c r="N181">
        <f t="shared" si="10"/>
        <v>-2.2200000000000002</v>
      </c>
    </row>
    <row r="182" spans="1:14">
      <c r="B182" t="s">
        <v>170</v>
      </c>
      <c r="G182">
        <f t="shared" ref="G182:N182" si="11">(G156)*-1</f>
        <v>2.69</v>
      </c>
      <c r="H182">
        <f t="shared" si="11"/>
        <v>1.4</v>
      </c>
      <c r="I182">
        <f t="shared" si="11"/>
        <v>2.64</v>
      </c>
      <c r="J182">
        <f t="shared" si="11"/>
        <v>2.77</v>
      </c>
      <c r="K182">
        <f t="shared" si="11"/>
        <v>2.91</v>
      </c>
      <c r="L182">
        <f t="shared" si="11"/>
        <v>2.91</v>
      </c>
      <c r="M182">
        <f t="shared" si="11"/>
        <v>2.91</v>
      </c>
      <c r="N182">
        <f t="shared" si="11"/>
        <v>2.91</v>
      </c>
    </row>
    <row r="183" spans="1:14">
      <c r="B183" s="22" t="s">
        <v>171</v>
      </c>
      <c r="C183" s="22"/>
      <c r="D183" s="22"/>
      <c r="E183" s="22"/>
      <c r="F183" s="22">
        <f>F180+SUM(G181:G182)</f>
        <v>8.5</v>
      </c>
      <c r="G183" s="22">
        <f t="shared" ref="G183:M183" si="12">G180+SUM(H181:H182)</f>
        <v>7.92</v>
      </c>
      <c r="H183" s="22">
        <f t="shared" si="12"/>
        <v>8.5500000000000007</v>
      </c>
      <c r="I183" s="22">
        <f t="shared" si="12"/>
        <v>9.2100000000000009</v>
      </c>
      <c r="J183" s="22">
        <f t="shared" si="12"/>
        <v>9.9</v>
      </c>
      <c r="K183" s="22">
        <f t="shared" si="12"/>
        <v>10.59</v>
      </c>
      <c r="L183" s="22">
        <f t="shared" si="12"/>
        <v>11.28</v>
      </c>
      <c r="M183" s="22">
        <f t="shared" si="12"/>
        <v>11.969999999999999</v>
      </c>
      <c r="N183" s="22"/>
    </row>
    <row r="186" spans="1:14" s="155" customFormat="1">
      <c r="A186" s="155" t="s">
        <v>13</v>
      </c>
      <c r="B186" s="142" t="s">
        <v>172</v>
      </c>
    </row>
    <row r="187" spans="1:14" s="76" customFormat="1">
      <c r="B187" s="247"/>
    </row>
    <row r="188" spans="1:14">
      <c r="A188" t="s">
        <v>13</v>
      </c>
      <c r="B188" s="154" t="s">
        <v>1373</v>
      </c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90" spans="1:14">
      <c r="B190" s="70" t="s">
        <v>173</v>
      </c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</row>
    <row r="191" spans="1:14"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4">
      <c r="B192" s="21" t="s">
        <v>30</v>
      </c>
      <c r="C192" s="21">
        <v>1987</v>
      </c>
      <c r="D192" s="5" t="s">
        <v>139</v>
      </c>
      <c r="E192" s="5">
        <v>1989</v>
      </c>
      <c r="F192" s="5">
        <v>1990</v>
      </c>
      <c r="G192" s="5">
        <v>1991</v>
      </c>
      <c r="H192" s="5">
        <v>1992</v>
      </c>
      <c r="I192" s="5">
        <v>1993</v>
      </c>
      <c r="J192" s="5">
        <v>1994</v>
      </c>
      <c r="K192" s="5">
        <v>1995</v>
      </c>
      <c r="L192" s="5">
        <v>1996</v>
      </c>
      <c r="M192" s="5">
        <v>1997</v>
      </c>
      <c r="N192" s="21">
        <v>1998</v>
      </c>
    </row>
    <row r="193" spans="2:14">
      <c r="B193" t="s">
        <v>174</v>
      </c>
      <c r="C193">
        <f t="shared" ref="C193:N193" si="13">C114</f>
        <v>0</v>
      </c>
      <c r="D193" t="str">
        <f t="shared" si="13"/>
        <v>N/A</v>
      </c>
      <c r="E193" t="str">
        <f t="shared" si="13"/>
        <v>N/A</v>
      </c>
      <c r="F193" t="str">
        <f t="shared" si="13"/>
        <v>N/A</v>
      </c>
      <c r="G193">
        <f t="shared" si="13"/>
        <v>5.6000000000000005</v>
      </c>
      <c r="H193">
        <f t="shared" si="13"/>
        <v>5.74</v>
      </c>
      <c r="I193">
        <f t="shared" si="13"/>
        <v>7.6800000000000006</v>
      </c>
      <c r="J193">
        <f t="shared" si="13"/>
        <v>9.0399999999999991</v>
      </c>
      <c r="K193">
        <f t="shared" si="13"/>
        <v>10.510000000000002</v>
      </c>
      <c r="L193">
        <f t="shared" si="13"/>
        <v>12.170000000000002</v>
      </c>
      <c r="M193">
        <f t="shared" si="13"/>
        <v>14.01</v>
      </c>
      <c r="N193">
        <f t="shared" si="13"/>
        <v>15.879999999999999</v>
      </c>
    </row>
    <row r="194" spans="2:14">
      <c r="B194" t="s">
        <v>140</v>
      </c>
      <c r="G194">
        <f t="shared" ref="G194:N194" si="14">G154</f>
        <v>1.9</v>
      </c>
      <c r="H194">
        <f t="shared" si="14"/>
        <v>1.98</v>
      </c>
      <c r="I194">
        <f t="shared" si="14"/>
        <v>2.0099999999999998</v>
      </c>
      <c r="J194">
        <f t="shared" si="14"/>
        <v>2.11</v>
      </c>
      <c r="K194">
        <f t="shared" si="14"/>
        <v>2.2200000000000002</v>
      </c>
      <c r="L194">
        <f t="shared" si="14"/>
        <v>2.2200000000000002</v>
      </c>
      <c r="M194">
        <f t="shared" si="14"/>
        <v>2.2200000000000002</v>
      </c>
      <c r="N194">
        <f t="shared" si="14"/>
        <v>2.2200000000000002</v>
      </c>
    </row>
    <row r="195" spans="2:14">
      <c r="B195" t="s">
        <v>170</v>
      </c>
      <c r="G195">
        <f t="shared" ref="G195:N195" si="15">G156</f>
        <v>-2.69</v>
      </c>
      <c r="H195">
        <f t="shared" si="15"/>
        <v>-1.4</v>
      </c>
      <c r="I195">
        <f t="shared" si="15"/>
        <v>-2.64</v>
      </c>
      <c r="J195">
        <f t="shared" si="15"/>
        <v>-2.77</v>
      </c>
      <c r="K195">
        <f t="shared" si="15"/>
        <v>-2.91</v>
      </c>
      <c r="L195">
        <f t="shared" si="15"/>
        <v>-2.91</v>
      </c>
      <c r="M195">
        <f t="shared" si="15"/>
        <v>-2.91</v>
      </c>
      <c r="N195">
        <f t="shared" si="15"/>
        <v>-2.91</v>
      </c>
    </row>
    <row r="196" spans="2:14">
      <c r="B196" t="s">
        <v>175</v>
      </c>
      <c r="G196">
        <f t="shared" ref="G196:N196" si="16">SUM(G157:G162)</f>
        <v>-0.15000000000000013</v>
      </c>
      <c r="H196">
        <f t="shared" si="16"/>
        <v>-0.52000000000000024</v>
      </c>
      <c r="I196">
        <f t="shared" si="16"/>
        <v>-1.19</v>
      </c>
      <c r="J196">
        <f t="shared" si="16"/>
        <v>-1.17</v>
      </c>
      <c r="K196">
        <f t="shared" si="16"/>
        <v>-1.2700000000000002</v>
      </c>
      <c r="L196">
        <f t="shared" si="16"/>
        <v>-1.3700000000000003</v>
      </c>
      <c r="M196">
        <f t="shared" si="16"/>
        <v>-1.4800000000000011</v>
      </c>
      <c r="N196">
        <f t="shared" si="16"/>
        <v>-1.6099999999999994</v>
      </c>
    </row>
    <row r="197" spans="2:14">
      <c r="B197" t="s">
        <v>176</v>
      </c>
      <c r="G197" s="24">
        <f t="shared" ref="G197:N197" si="17">G214</f>
        <v>0.92565000000000008</v>
      </c>
      <c r="H197" s="24">
        <f t="shared" si="17"/>
        <v>0.92565000000000008</v>
      </c>
      <c r="I197" s="24">
        <f t="shared" si="17"/>
        <v>0</v>
      </c>
      <c r="J197" s="24">
        <f t="shared" si="17"/>
        <v>0</v>
      </c>
      <c r="K197" s="24">
        <f t="shared" si="17"/>
        <v>0</v>
      </c>
      <c r="L197" s="24">
        <f t="shared" si="17"/>
        <v>0</v>
      </c>
      <c r="M197" s="24">
        <f t="shared" si="17"/>
        <v>0</v>
      </c>
      <c r="N197" s="24">
        <f t="shared" si="17"/>
        <v>0</v>
      </c>
    </row>
    <row r="198" spans="2:14">
      <c r="B198" s="56" t="s">
        <v>177</v>
      </c>
      <c r="C198" s="56"/>
      <c r="D198" s="56"/>
      <c r="E198" s="56"/>
      <c r="F198" s="56"/>
      <c r="G198" s="56">
        <f t="shared" ref="G198:N198" si="18">G155</f>
        <v>-0.25</v>
      </c>
      <c r="H198" s="56">
        <f t="shared" si="18"/>
        <v>-0.19</v>
      </c>
      <c r="I198" s="56">
        <f t="shared" si="18"/>
        <v>-0.2</v>
      </c>
      <c r="J198" s="56">
        <f t="shared" si="18"/>
        <v>-0.2</v>
      </c>
      <c r="K198" s="56">
        <f t="shared" si="18"/>
        <v>0</v>
      </c>
      <c r="L198" s="56">
        <f t="shared" si="18"/>
        <v>0</v>
      </c>
      <c r="M198" s="56">
        <f t="shared" si="18"/>
        <v>0</v>
      </c>
      <c r="N198" s="56">
        <f t="shared" si="18"/>
        <v>0</v>
      </c>
    </row>
    <row r="199" spans="2:14">
      <c r="B199" t="s">
        <v>178</v>
      </c>
      <c r="G199" s="24">
        <f>G193+SUM(G194:G198)</f>
        <v>5.3356500000000002</v>
      </c>
      <c r="H199" s="24">
        <f t="shared" ref="H199:N199" si="19">H193+SUM(H194:H198)</f>
        <v>6.5356500000000004</v>
      </c>
      <c r="I199" s="24">
        <f t="shared" si="19"/>
        <v>5.66</v>
      </c>
      <c r="J199" s="24">
        <f t="shared" si="19"/>
        <v>7.0099999999999989</v>
      </c>
      <c r="K199" s="24">
        <f t="shared" si="19"/>
        <v>8.5500000000000007</v>
      </c>
      <c r="L199" s="24">
        <f t="shared" si="19"/>
        <v>10.110000000000001</v>
      </c>
      <c r="M199" s="24">
        <f t="shared" si="19"/>
        <v>11.84</v>
      </c>
      <c r="N199" s="24">
        <f t="shared" si="19"/>
        <v>13.58</v>
      </c>
    </row>
    <row r="200" spans="2:14">
      <c r="B200" s="111" t="s">
        <v>179</v>
      </c>
      <c r="C200" s="111"/>
      <c r="D200" s="111"/>
      <c r="E200" s="111"/>
      <c r="F200" s="111"/>
      <c r="G200" s="111">
        <v>4.8800000000000008</v>
      </c>
      <c r="H200" s="111">
        <v>6.55</v>
      </c>
      <c r="I200" s="111">
        <v>6.13</v>
      </c>
      <c r="J200" s="111">
        <v>7.009999999999998</v>
      </c>
      <c r="K200" s="111">
        <v>8.5500000000000025</v>
      </c>
      <c r="L200" s="111">
        <v>10.110000000000003</v>
      </c>
      <c r="M200" s="111">
        <v>11.84</v>
      </c>
      <c r="N200" s="111">
        <v>13.58</v>
      </c>
    </row>
    <row r="201" spans="2:14">
      <c r="B201" s="114" t="s">
        <v>180</v>
      </c>
      <c r="C201" s="114"/>
      <c r="D201" s="114"/>
      <c r="E201" s="114"/>
      <c r="F201" s="114"/>
      <c r="G201" s="115">
        <f>G199-G200</f>
        <v>0.45564999999999944</v>
      </c>
      <c r="H201" s="115">
        <f t="shared" ref="H201:N201" si="20">H199-H200</f>
        <v>-1.4349999999999419E-2</v>
      </c>
      <c r="I201" s="115">
        <f t="shared" si="20"/>
        <v>-0.46999999999999975</v>
      </c>
      <c r="J201" s="115">
        <f t="shared" si="20"/>
        <v>0</v>
      </c>
      <c r="K201" s="115">
        <f t="shared" si="20"/>
        <v>0</v>
      </c>
      <c r="L201" s="115">
        <f t="shared" si="20"/>
        <v>0</v>
      </c>
      <c r="M201" s="115">
        <f t="shared" si="20"/>
        <v>0</v>
      </c>
      <c r="N201" s="115">
        <f t="shared" si="20"/>
        <v>0</v>
      </c>
    </row>
    <row r="204" spans="2:14">
      <c r="B204" s="244" t="s">
        <v>181</v>
      </c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5"/>
    </row>
    <row r="205" spans="2:14">
      <c r="B205" s="265" t="s">
        <v>95</v>
      </c>
      <c r="C205" s="5">
        <v>1987</v>
      </c>
      <c r="D205" s="5" t="s">
        <v>139</v>
      </c>
      <c r="E205" s="5">
        <v>1989</v>
      </c>
      <c r="F205" s="5">
        <v>1990</v>
      </c>
      <c r="G205" s="5">
        <v>1991</v>
      </c>
      <c r="H205" s="5">
        <v>1992</v>
      </c>
      <c r="I205" s="5">
        <v>1993</v>
      </c>
      <c r="J205" s="5">
        <v>1994</v>
      </c>
      <c r="K205" s="5">
        <v>1995</v>
      </c>
      <c r="L205" s="5">
        <v>1996</v>
      </c>
      <c r="M205" s="5">
        <v>1997</v>
      </c>
      <c r="N205" s="5">
        <v>1998</v>
      </c>
    </row>
    <row r="206" spans="2:14">
      <c r="B206" t="s">
        <v>182</v>
      </c>
      <c r="G206">
        <f>'Debt items'!C15</f>
        <v>11</v>
      </c>
      <c r="H206">
        <f>G208</f>
        <v>11</v>
      </c>
      <c r="I206">
        <f t="shared" ref="I206:N206" si="21">H208</f>
        <v>11</v>
      </c>
      <c r="J206">
        <f t="shared" si="21"/>
        <v>11</v>
      </c>
      <c r="K206">
        <f t="shared" si="21"/>
        <v>11</v>
      </c>
      <c r="L206">
        <f t="shared" si="21"/>
        <v>11</v>
      </c>
      <c r="M206">
        <f t="shared" si="21"/>
        <v>11</v>
      </c>
      <c r="N206">
        <f t="shared" si="21"/>
        <v>11</v>
      </c>
    </row>
    <row r="207" spans="2:14">
      <c r="B207" t="s">
        <v>183</v>
      </c>
      <c r="G207">
        <f>0</f>
        <v>0</v>
      </c>
      <c r="H207">
        <f>0</f>
        <v>0</v>
      </c>
      <c r="I207">
        <f>0</f>
        <v>0</v>
      </c>
      <c r="J207">
        <f>0</f>
        <v>0</v>
      </c>
      <c r="K207">
        <f>0</f>
        <v>0</v>
      </c>
      <c r="L207">
        <f>0</f>
        <v>0</v>
      </c>
      <c r="M207">
        <f>0</f>
        <v>0</v>
      </c>
      <c r="N207">
        <f>0</f>
        <v>0</v>
      </c>
    </row>
    <row r="208" spans="2:14">
      <c r="B208" t="s">
        <v>184</v>
      </c>
      <c r="G208">
        <f>G206-G207</f>
        <v>11</v>
      </c>
      <c r="H208">
        <f t="shared" ref="H208:N208" si="22">H206-H207</f>
        <v>11</v>
      </c>
      <c r="I208">
        <f t="shared" si="22"/>
        <v>11</v>
      </c>
      <c r="J208">
        <f t="shared" si="22"/>
        <v>11</v>
      </c>
      <c r="K208">
        <f t="shared" si="22"/>
        <v>11</v>
      </c>
      <c r="L208">
        <f t="shared" si="22"/>
        <v>11</v>
      </c>
      <c r="M208">
        <f t="shared" si="22"/>
        <v>11</v>
      </c>
      <c r="N208">
        <f t="shared" si="22"/>
        <v>11</v>
      </c>
    </row>
    <row r="209" spans="2:14">
      <c r="B209" s="13" t="s">
        <v>185</v>
      </c>
      <c r="G209" s="44">
        <f>AVERAGE('DCM rates'!C18:C20)</f>
        <v>7.8950000000000006E-2</v>
      </c>
      <c r="H209" s="44">
        <f>G209</f>
        <v>7.8950000000000006E-2</v>
      </c>
      <c r="I209" s="54"/>
      <c r="J209" s="54"/>
      <c r="K209" s="54"/>
      <c r="L209" s="54"/>
      <c r="M209" s="54"/>
      <c r="N209" s="54"/>
    </row>
    <row r="210" spans="2:14">
      <c r="B210" s="50" t="s">
        <v>186</v>
      </c>
      <c r="C210" s="3"/>
      <c r="D210" s="3"/>
      <c r="E210" s="3"/>
      <c r="F210" s="3"/>
      <c r="G210" s="53">
        <f>'Debt items'!D25</f>
        <v>5.1999999999999998E-3</v>
      </c>
      <c r="H210" s="53">
        <f>G210</f>
        <v>5.1999999999999998E-3</v>
      </c>
      <c r="I210" s="53">
        <f t="shared" ref="I210:N210" si="23">H210</f>
        <v>5.1999999999999998E-3</v>
      </c>
      <c r="J210" s="53">
        <f t="shared" si="23"/>
        <v>5.1999999999999998E-3</v>
      </c>
      <c r="K210" s="53">
        <f t="shared" si="23"/>
        <v>5.1999999999999998E-3</v>
      </c>
      <c r="L210" s="53">
        <f t="shared" si="23"/>
        <v>5.1999999999999998E-3</v>
      </c>
      <c r="M210" s="53">
        <f t="shared" si="23"/>
        <v>5.1999999999999998E-3</v>
      </c>
      <c r="N210" s="53">
        <f t="shared" si="23"/>
        <v>5.1999999999999998E-3</v>
      </c>
    </row>
    <row r="211" spans="2:14">
      <c r="B211" t="s">
        <v>187</v>
      </c>
      <c r="G211" s="44">
        <f>G209+G210</f>
        <v>8.4150000000000003E-2</v>
      </c>
      <c r="H211" s="44">
        <f t="shared" ref="H211:N211" si="24">H209+H210</f>
        <v>8.4150000000000003E-2</v>
      </c>
      <c r="I211" s="44">
        <f t="shared" si="24"/>
        <v>5.1999999999999998E-3</v>
      </c>
      <c r="J211" s="44">
        <f t="shared" si="24"/>
        <v>5.1999999999999998E-3</v>
      </c>
      <c r="K211" s="44">
        <f t="shared" si="24"/>
        <v>5.1999999999999998E-3</v>
      </c>
      <c r="L211" s="44">
        <f t="shared" si="24"/>
        <v>5.1999999999999998E-3</v>
      </c>
      <c r="M211" s="44">
        <f t="shared" si="24"/>
        <v>5.1999999999999998E-3</v>
      </c>
      <c r="N211" s="44">
        <f t="shared" si="24"/>
        <v>5.1999999999999998E-3</v>
      </c>
    </row>
    <row r="212" spans="2:14">
      <c r="B212" t="s">
        <v>188</v>
      </c>
      <c r="G212" s="24">
        <f>G211*G206</f>
        <v>0.92565000000000008</v>
      </c>
      <c r="H212" s="24">
        <f t="shared" ref="H212:N212" si="25">H211*H206</f>
        <v>0.92565000000000008</v>
      </c>
      <c r="I212" s="24">
        <f>I211*I206</f>
        <v>5.7200000000000001E-2</v>
      </c>
      <c r="J212" s="24">
        <f t="shared" si="25"/>
        <v>5.7200000000000001E-2</v>
      </c>
      <c r="K212" s="24">
        <f t="shared" si="25"/>
        <v>5.7200000000000001E-2</v>
      </c>
      <c r="L212" s="24">
        <f t="shared" si="25"/>
        <v>5.7200000000000001E-2</v>
      </c>
      <c r="M212" s="24">
        <f t="shared" si="25"/>
        <v>5.7200000000000001E-2</v>
      </c>
      <c r="N212" s="24">
        <f t="shared" si="25"/>
        <v>5.7200000000000001E-2</v>
      </c>
    </row>
    <row r="213" spans="2:14">
      <c r="B213" t="s">
        <v>189</v>
      </c>
      <c r="G213">
        <v>1</v>
      </c>
      <c r="H213">
        <v>1</v>
      </c>
      <c r="I213">
        <v>0</v>
      </c>
      <c r="J213">
        <f>I213</f>
        <v>0</v>
      </c>
      <c r="K213">
        <f t="shared" ref="K213:N213" si="26">J213</f>
        <v>0</v>
      </c>
      <c r="L213">
        <f t="shared" si="26"/>
        <v>0</v>
      </c>
      <c r="M213">
        <f t="shared" si="26"/>
        <v>0</v>
      </c>
      <c r="N213">
        <f t="shared" si="26"/>
        <v>0</v>
      </c>
    </row>
    <row r="214" spans="2:14">
      <c r="B214" s="22" t="s">
        <v>190</v>
      </c>
      <c r="C214" s="22"/>
      <c r="D214" s="22"/>
      <c r="E214" s="22"/>
      <c r="F214" s="22"/>
      <c r="G214" s="43">
        <f>G212*G213</f>
        <v>0.92565000000000008</v>
      </c>
      <c r="H214" s="43">
        <f>H212*H213</f>
        <v>0.92565000000000008</v>
      </c>
      <c r="I214" s="22">
        <f t="shared" ref="I214:N214" si="27">I212*I213</f>
        <v>0</v>
      </c>
      <c r="J214" s="22">
        <f t="shared" si="27"/>
        <v>0</v>
      </c>
      <c r="K214" s="22">
        <f t="shared" si="27"/>
        <v>0</v>
      </c>
      <c r="L214" s="22">
        <f t="shared" si="27"/>
        <v>0</v>
      </c>
      <c r="M214" s="22">
        <f t="shared" si="27"/>
        <v>0</v>
      </c>
      <c r="N214" s="22">
        <f t="shared" si="27"/>
        <v>0</v>
      </c>
    </row>
    <row r="215" spans="2:14">
      <c r="B215" t="s">
        <v>188</v>
      </c>
      <c r="G215">
        <f>G212-G214</f>
        <v>0</v>
      </c>
      <c r="H215">
        <f t="shared" ref="H215:N215" si="28">H212-H214</f>
        <v>0</v>
      </c>
      <c r="I215" s="24">
        <f t="shared" si="28"/>
        <v>5.7200000000000001E-2</v>
      </c>
      <c r="J215" s="24">
        <f t="shared" si="28"/>
        <v>5.7200000000000001E-2</v>
      </c>
      <c r="K215" s="24">
        <f t="shared" si="28"/>
        <v>5.7200000000000001E-2</v>
      </c>
      <c r="L215" s="24">
        <f t="shared" si="28"/>
        <v>5.7200000000000001E-2</v>
      </c>
      <c r="M215" s="24">
        <f t="shared" si="28"/>
        <v>5.7200000000000001E-2</v>
      </c>
      <c r="N215" s="24">
        <f t="shared" si="28"/>
        <v>5.7200000000000001E-2</v>
      </c>
    </row>
    <row r="217" spans="2:14">
      <c r="B217" s="109" t="s">
        <v>191</v>
      </c>
      <c r="C217" s="110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</row>
    <row r="219" spans="2:14">
      <c r="B219" s="21" t="s">
        <v>30</v>
      </c>
      <c r="C219" s="21">
        <v>1987</v>
      </c>
      <c r="D219" s="21" t="s">
        <v>139</v>
      </c>
      <c r="E219" s="21">
        <v>1989</v>
      </c>
      <c r="F219" s="21">
        <v>1990</v>
      </c>
      <c r="G219" s="21">
        <v>1991</v>
      </c>
      <c r="H219" s="21">
        <v>1992</v>
      </c>
      <c r="I219" s="21">
        <v>1993</v>
      </c>
      <c r="J219" s="21">
        <v>1994</v>
      </c>
      <c r="K219" s="21">
        <v>1995</v>
      </c>
      <c r="L219" s="21">
        <v>1996</v>
      </c>
      <c r="M219" s="21">
        <v>1997</v>
      </c>
      <c r="N219" s="21">
        <v>1998</v>
      </c>
    </row>
    <row r="220" spans="2:14">
      <c r="B220" t="s">
        <v>41</v>
      </c>
      <c r="C220">
        <f t="shared" ref="C220:N220" si="29">C103</f>
        <v>0</v>
      </c>
      <c r="D220">
        <f t="shared" si="29"/>
        <v>7.6</v>
      </c>
      <c r="E220">
        <f t="shared" si="29"/>
        <v>9.5</v>
      </c>
      <c r="F220">
        <f t="shared" si="29"/>
        <v>8.9</v>
      </c>
      <c r="G220">
        <f t="shared" si="29"/>
        <v>11.42</v>
      </c>
      <c r="H220">
        <f t="shared" si="29"/>
        <v>14.6</v>
      </c>
      <c r="I220">
        <f t="shared" si="29"/>
        <v>16.89</v>
      </c>
      <c r="J220">
        <f t="shared" si="29"/>
        <v>18.25</v>
      </c>
      <c r="K220">
        <f t="shared" si="29"/>
        <v>19.71</v>
      </c>
      <c r="L220">
        <f t="shared" si="29"/>
        <v>21.29</v>
      </c>
      <c r="M220">
        <f t="shared" si="29"/>
        <v>23</v>
      </c>
      <c r="N220">
        <f t="shared" si="29"/>
        <v>24.85</v>
      </c>
    </row>
    <row r="221" spans="2:14">
      <c r="B221" t="s">
        <v>141</v>
      </c>
    </row>
    <row r="222" spans="2:14">
      <c r="B222" t="s">
        <v>142</v>
      </c>
      <c r="G222">
        <f t="shared" ref="G222:N222" si="30">G105</f>
        <v>1</v>
      </c>
      <c r="H222">
        <f t="shared" si="30"/>
        <v>0.03</v>
      </c>
      <c r="I222">
        <f t="shared" si="30"/>
        <v>0.03</v>
      </c>
      <c r="J222">
        <f t="shared" si="30"/>
        <v>0.03</v>
      </c>
      <c r="K222">
        <f t="shared" si="30"/>
        <v>0.03</v>
      </c>
      <c r="L222">
        <f t="shared" si="30"/>
        <v>0.03</v>
      </c>
      <c r="M222">
        <f t="shared" si="30"/>
        <v>0.03</v>
      </c>
      <c r="N222">
        <f t="shared" si="30"/>
        <v>0.04</v>
      </c>
    </row>
    <row r="223" spans="2:14">
      <c r="B223" t="s">
        <v>144</v>
      </c>
      <c r="G223" s="24">
        <f t="shared" ref="G223:N223" si="31">G309</f>
        <v>9.2249999999999999E-2</v>
      </c>
      <c r="H223" s="24">
        <f t="shared" si="31"/>
        <v>0.12120666666666666</v>
      </c>
      <c r="I223" s="24">
        <f t="shared" ca="1" si="31"/>
        <v>6.6183333333333344E-2</v>
      </c>
      <c r="J223" s="24">
        <f t="shared" ca="1" si="31"/>
        <v>0.02</v>
      </c>
      <c r="K223" s="24">
        <f t="shared" ca="1" si="31"/>
        <v>0.02</v>
      </c>
      <c r="L223" s="24">
        <f t="shared" ca="1" si="31"/>
        <v>0.02</v>
      </c>
      <c r="M223" s="24">
        <f t="shared" ca="1" si="31"/>
        <v>0.02</v>
      </c>
      <c r="N223" s="24">
        <f t="shared" ca="1" si="31"/>
        <v>0</v>
      </c>
    </row>
    <row r="224" spans="2:14">
      <c r="B224" t="s">
        <v>145</v>
      </c>
      <c r="G224" s="24">
        <f t="shared" ref="G224:N224" ca="1" si="32">G319</f>
        <v>2.79</v>
      </c>
      <c r="H224" s="24">
        <f t="shared" ca="1" si="32"/>
        <v>1.8069333333333333</v>
      </c>
      <c r="I224" s="24">
        <f t="shared" ca="1" si="32"/>
        <v>1.1983946780530954</v>
      </c>
      <c r="J224" s="24">
        <f t="shared" ca="1" si="32"/>
        <v>0.84015048261076242</v>
      </c>
      <c r="K224" s="24">
        <f t="shared" ca="1" si="32"/>
        <v>0.24291668154063217</v>
      </c>
      <c r="L224" s="24">
        <f t="shared" ca="1" si="32"/>
        <v>0</v>
      </c>
      <c r="M224" s="24">
        <f t="shared" ca="1" si="32"/>
        <v>0</v>
      </c>
      <c r="N224" s="24">
        <f t="shared" ca="1" si="32"/>
        <v>0</v>
      </c>
    </row>
    <row r="225" spans="2:14">
      <c r="B225" t="s">
        <v>146</v>
      </c>
      <c r="G225" s="24">
        <f t="shared" ref="G225:N225" ca="1" si="33">G328</f>
        <v>1.5</v>
      </c>
      <c r="H225" s="24">
        <f t="shared" ca="1" si="33"/>
        <v>1.1180000000000001</v>
      </c>
      <c r="I225" s="24">
        <f t="shared" ca="1" si="33"/>
        <v>1.04</v>
      </c>
      <c r="J225" s="24">
        <f t="shared" ca="1" si="33"/>
        <v>1.3927499999999999</v>
      </c>
      <c r="K225" s="24">
        <f t="shared" ca="1" si="33"/>
        <v>1.3881249999999998</v>
      </c>
      <c r="L225" s="24">
        <f t="shared" ca="1" si="33"/>
        <v>0.83895351599067736</v>
      </c>
      <c r="M225" s="24">
        <f t="shared" ca="1" si="33"/>
        <v>0.15682980714560871</v>
      </c>
      <c r="N225" s="24">
        <f t="shared" ca="1" si="33"/>
        <v>0</v>
      </c>
    </row>
    <row r="226" spans="2:14">
      <c r="B226" t="s">
        <v>147</v>
      </c>
      <c r="G226" s="24">
        <f ca="1">G339</f>
        <v>0.92702499999999988</v>
      </c>
      <c r="H226" s="24">
        <f t="shared" ref="H226:N226" ca="1" si="34">H339</f>
        <v>0.92702499999999988</v>
      </c>
      <c r="I226" s="24">
        <f t="shared" ca="1" si="34"/>
        <v>0.92015000000000002</v>
      </c>
      <c r="J226" s="24">
        <f t="shared" ca="1" si="34"/>
        <v>0.91079999999999994</v>
      </c>
      <c r="K226" s="24">
        <f t="shared" ca="1" si="34"/>
        <v>0.89760000000000006</v>
      </c>
      <c r="L226" s="24">
        <f t="shared" ca="1" si="34"/>
        <v>0.88165000000000004</v>
      </c>
      <c r="M226" s="24">
        <f t="shared" ca="1" si="34"/>
        <v>0.86184999999999989</v>
      </c>
      <c r="N226" s="24">
        <f t="shared" ca="1" si="34"/>
        <v>0.41964999999999997</v>
      </c>
    </row>
    <row r="227" spans="2:14">
      <c r="B227" t="s">
        <v>148</v>
      </c>
      <c r="G227" s="24">
        <f ca="1">-SUM(G222:G226)</f>
        <v>-6.3092749999999995</v>
      </c>
      <c r="H227" s="24">
        <f t="shared" ref="H227:N227" ca="1" si="35">-SUM(H222:H226)</f>
        <v>-4.0031650000000001</v>
      </c>
      <c r="I227" s="24">
        <f t="shared" ca="1" si="35"/>
        <v>-3.2547280113864288</v>
      </c>
      <c r="J227" s="24">
        <f t="shared" ca="1" si="35"/>
        <v>-3.1937004826107627</v>
      </c>
      <c r="K227" s="24">
        <f t="shared" ca="1" si="35"/>
        <v>-2.5786416815406321</v>
      </c>
      <c r="L227" s="24">
        <f t="shared" ca="1" si="35"/>
        <v>-1.7706035159906774</v>
      </c>
      <c r="M227" s="24">
        <f t="shared" ca="1" si="35"/>
        <v>-1.0686798071456085</v>
      </c>
      <c r="N227" s="24">
        <f t="shared" ca="1" si="35"/>
        <v>-0.45964999999999995</v>
      </c>
    </row>
    <row r="228" spans="2:14">
      <c r="B228" t="s">
        <v>149</v>
      </c>
      <c r="G228" s="24">
        <f ca="1">G348</f>
        <v>7.8052959743753217E-2</v>
      </c>
      <c r="H228" s="24">
        <f t="shared" ref="H228:N228" ca="1" si="36">H348</f>
        <v>0.21248174318850366</v>
      </c>
      <c r="I228" s="24">
        <f t="shared" ca="1" si="36"/>
        <v>5.0759534405681928E-2</v>
      </c>
      <c r="J228" s="24">
        <f t="shared" ca="1" si="36"/>
        <v>0</v>
      </c>
      <c r="K228" s="24">
        <f t="shared" ca="1" si="36"/>
        <v>0</v>
      </c>
      <c r="L228" s="24">
        <f t="shared" ca="1" si="36"/>
        <v>0</v>
      </c>
      <c r="M228" s="24">
        <f t="shared" ca="1" si="36"/>
        <v>0</v>
      </c>
      <c r="N228" s="24">
        <f t="shared" ca="1" si="36"/>
        <v>0</v>
      </c>
    </row>
    <row r="229" spans="2:14">
      <c r="B229" t="s">
        <v>192</v>
      </c>
      <c r="G229" s="24">
        <f t="shared" ref="G229:N229" ca="1" si="37">G220+G227+G228</f>
        <v>5.1887779597437538</v>
      </c>
      <c r="H229" s="24">
        <f t="shared" ca="1" si="37"/>
        <v>10.809316743188502</v>
      </c>
      <c r="I229" s="24">
        <f t="shared" ca="1" si="37"/>
        <v>13.686031523019253</v>
      </c>
      <c r="J229" s="24">
        <f t="shared" ca="1" si="37"/>
        <v>15.056299517389238</v>
      </c>
      <c r="K229" s="24">
        <f t="shared" ca="1" si="37"/>
        <v>17.13135831845937</v>
      </c>
      <c r="L229" s="24">
        <f t="shared" ca="1" si="37"/>
        <v>19.51939648400932</v>
      </c>
      <c r="M229" s="24">
        <f t="shared" ca="1" si="37"/>
        <v>21.931320192854393</v>
      </c>
      <c r="N229" s="24">
        <f t="shared" ca="1" si="37"/>
        <v>24.390350000000002</v>
      </c>
    </row>
    <row r="230" spans="2:14">
      <c r="B230" t="s">
        <v>150</v>
      </c>
      <c r="G230" s="24">
        <f ca="1">-G229*G173</f>
        <v>-1.2971944899359384</v>
      </c>
      <c r="H230" s="24">
        <f t="shared" ref="H230:N230" ca="1" si="38">-H229*H173</f>
        <v>-3.3508881903884356</v>
      </c>
      <c r="I230" s="24">
        <f t="shared" ca="1" si="38"/>
        <v>-4.2426697721359679</v>
      </c>
      <c r="J230" s="24">
        <f t="shared" ca="1" si="38"/>
        <v>-4.5168898552167711</v>
      </c>
      <c r="K230" s="24">
        <f t="shared" ca="1" si="38"/>
        <v>-5.1394074955378111</v>
      </c>
      <c r="L230" s="24">
        <f t="shared" ca="1" si="38"/>
        <v>-5.8558189452027962</v>
      </c>
      <c r="M230" s="24">
        <f t="shared" ca="1" si="38"/>
        <v>-6.579396057856318</v>
      </c>
      <c r="N230" s="24">
        <f t="shared" ca="1" si="38"/>
        <v>-7.3171049999999997</v>
      </c>
    </row>
    <row r="231" spans="2:14">
      <c r="B231" s="21" t="s">
        <v>174</v>
      </c>
      <c r="C231" s="21"/>
      <c r="D231" s="21"/>
      <c r="E231" s="21"/>
      <c r="F231" s="21"/>
      <c r="G231" s="42">
        <f t="shared" ref="G231:N231" ca="1" si="39">G229+G230</f>
        <v>3.8915834698078156</v>
      </c>
      <c r="H231" s="42">
        <f t="shared" ca="1" si="39"/>
        <v>7.4584285528000667</v>
      </c>
      <c r="I231" s="42">
        <f t="shared" ca="1" si="39"/>
        <v>9.4433617508832839</v>
      </c>
      <c r="J231" s="42">
        <f t="shared" ca="1" si="39"/>
        <v>10.539409662172467</v>
      </c>
      <c r="K231" s="42">
        <f t="shared" ca="1" si="39"/>
        <v>11.991950822921559</v>
      </c>
      <c r="L231" s="42">
        <f t="shared" ca="1" si="39"/>
        <v>13.663577538806525</v>
      </c>
      <c r="M231" s="42">
        <f t="shared" ca="1" si="39"/>
        <v>15.351924134998075</v>
      </c>
      <c r="N231" s="42">
        <f t="shared" ca="1" si="39"/>
        <v>17.073245</v>
      </c>
    </row>
    <row r="232" spans="2:14">
      <c r="B232" t="s">
        <v>140</v>
      </c>
      <c r="G232">
        <f t="shared" ref="G232:N236" si="40">G194</f>
        <v>1.9</v>
      </c>
      <c r="H232">
        <f t="shared" si="40"/>
        <v>1.98</v>
      </c>
      <c r="I232">
        <f t="shared" si="40"/>
        <v>2.0099999999999998</v>
      </c>
      <c r="J232">
        <f t="shared" si="40"/>
        <v>2.11</v>
      </c>
      <c r="K232">
        <f t="shared" si="40"/>
        <v>2.2200000000000002</v>
      </c>
      <c r="L232">
        <f t="shared" si="40"/>
        <v>2.2200000000000002</v>
      </c>
      <c r="M232">
        <f t="shared" si="40"/>
        <v>2.2200000000000002</v>
      </c>
      <c r="N232">
        <f t="shared" si="40"/>
        <v>2.2200000000000002</v>
      </c>
    </row>
    <row r="233" spans="2:14">
      <c r="B233" t="s">
        <v>170</v>
      </c>
      <c r="G233">
        <f t="shared" si="40"/>
        <v>-2.69</v>
      </c>
      <c r="H233">
        <f t="shared" si="40"/>
        <v>-1.4</v>
      </c>
      <c r="I233">
        <f t="shared" si="40"/>
        <v>-2.64</v>
      </c>
      <c r="J233">
        <f t="shared" si="40"/>
        <v>-2.77</v>
      </c>
      <c r="K233">
        <f t="shared" si="40"/>
        <v>-2.91</v>
      </c>
      <c r="L233">
        <f t="shared" si="40"/>
        <v>-2.91</v>
      </c>
      <c r="M233">
        <f t="shared" si="40"/>
        <v>-2.91</v>
      </c>
      <c r="N233">
        <f t="shared" si="40"/>
        <v>-2.91</v>
      </c>
    </row>
    <row r="234" spans="2:14">
      <c r="B234" t="s">
        <v>175</v>
      </c>
      <c r="G234">
        <f t="shared" si="40"/>
        <v>-0.15000000000000013</v>
      </c>
      <c r="H234">
        <f t="shared" si="40"/>
        <v>-0.52000000000000024</v>
      </c>
      <c r="I234">
        <f t="shared" si="40"/>
        <v>-1.19</v>
      </c>
      <c r="J234">
        <f t="shared" si="40"/>
        <v>-1.17</v>
      </c>
      <c r="K234">
        <f t="shared" si="40"/>
        <v>-1.2700000000000002</v>
      </c>
      <c r="L234">
        <f t="shared" si="40"/>
        <v>-1.3700000000000003</v>
      </c>
      <c r="M234">
        <f t="shared" si="40"/>
        <v>-1.4800000000000011</v>
      </c>
      <c r="N234">
        <f t="shared" si="40"/>
        <v>-1.6099999999999994</v>
      </c>
    </row>
    <row r="235" spans="2:14">
      <c r="B235" t="s">
        <v>176</v>
      </c>
      <c r="G235" s="24">
        <f t="shared" si="40"/>
        <v>0.92565000000000008</v>
      </c>
      <c r="H235" s="24">
        <f t="shared" si="40"/>
        <v>0.92565000000000008</v>
      </c>
      <c r="I235">
        <f t="shared" si="40"/>
        <v>0</v>
      </c>
      <c r="J235">
        <f t="shared" si="40"/>
        <v>0</v>
      </c>
      <c r="K235">
        <f t="shared" si="40"/>
        <v>0</v>
      </c>
      <c r="L235">
        <f t="shared" si="40"/>
        <v>0</v>
      </c>
      <c r="M235">
        <f t="shared" si="40"/>
        <v>0</v>
      </c>
      <c r="N235">
        <f t="shared" si="40"/>
        <v>0</v>
      </c>
    </row>
    <row r="236" spans="2:14">
      <c r="B236" s="56" t="s">
        <v>177</v>
      </c>
      <c r="C236" s="56"/>
      <c r="D236" s="56"/>
      <c r="E236" s="56"/>
      <c r="F236" s="56"/>
      <c r="G236" s="56">
        <f t="shared" si="40"/>
        <v>-0.25</v>
      </c>
      <c r="H236" s="56">
        <f t="shared" si="40"/>
        <v>-0.19</v>
      </c>
      <c r="I236" s="56">
        <f t="shared" si="40"/>
        <v>-0.2</v>
      </c>
      <c r="J236" s="56">
        <f t="shared" si="40"/>
        <v>-0.2</v>
      </c>
      <c r="K236" s="56">
        <f t="shared" si="40"/>
        <v>0</v>
      </c>
      <c r="L236" s="56">
        <f t="shared" si="40"/>
        <v>0</v>
      </c>
      <c r="M236" s="56">
        <f t="shared" si="40"/>
        <v>0</v>
      </c>
      <c r="N236" s="56">
        <f t="shared" si="40"/>
        <v>0</v>
      </c>
    </row>
    <row r="237" spans="2:14">
      <c r="B237" s="14" t="s">
        <v>178</v>
      </c>
      <c r="C237" s="14"/>
      <c r="D237" s="14"/>
      <c r="E237" s="14"/>
      <c r="F237" s="14"/>
      <c r="G237" s="57">
        <f t="shared" ref="G237:N237" ca="1" si="41">G231+SUM(G232:G236)</f>
        <v>3.6272334698078152</v>
      </c>
      <c r="H237" s="57">
        <f t="shared" ca="1" si="41"/>
        <v>8.2540785528000669</v>
      </c>
      <c r="I237" s="57">
        <f t="shared" ca="1" si="41"/>
        <v>7.4233617508832834</v>
      </c>
      <c r="J237" s="57">
        <f t="shared" ca="1" si="41"/>
        <v>8.509409662172466</v>
      </c>
      <c r="K237" s="57">
        <f t="shared" ca="1" si="41"/>
        <v>10.031950822921559</v>
      </c>
      <c r="L237" s="57">
        <f t="shared" ca="1" si="41"/>
        <v>11.603577538806524</v>
      </c>
      <c r="M237" s="57">
        <f t="shared" ca="1" si="41"/>
        <v>13.181924134998074</v>
      </c>
      <c r="N237" s="57">
        <f t="shared" ca="1" si="41"/>
        <v>14.773245000000001</v>
      </c>
    </row>
    <row r="238" spans="2:14">
      <c r="B238" s="111" t="s">
        <v>179</v>
      </c>
      <c r="C238" s="111"/>
      <c r="D238" s="111"/>
      <c r="E238" s="111"/>
      <c r="F238" s="111"/>
      <c r="G238" s="111">
        <v>4.8800000000000008</v>
      </c>
      <c r="H238" s="111">
        <v>6.55</v>
      </c>
      <c r="I238" s="111">
        <v>6.13</v>
      </c>
      <c r="J238" s="111">
        <v>7.009999999999998</v>
      </c>
      <c r="K238" s="111">
        <v>8.5500000000000025</v>
      </c>
      <c r="L238" s="111">
        <v>10.110000000000003</v>
      </c>
      <c r="M238" s="111">
        <v>11.84</v>
      </c>
      <c r="N238" s="111">
        <v>13.58</v>
      </c>
    </row>
    <row r="239" spans="2:14">
      <c r="B239" s="114" t="s">
        <v>180</v>
      </c>
      <c r="C239" s="114"/>
      <c r="D239" s="114"/>
      <c r="E239" s="114"/>
      <c r="F239" s="114"/>
      <c r="G239" s="115">
        <f ca="1">G237-G238</f>
        <v>-1.2527665301921855</v>
      </c>
      <c r="H239" s="115">
        <f t="shared" ref="H239:N239" ca="1" si="42">H237-H238</f>
        <v>1.704078552800067</v>
      </c>
      <c r="I239" s="115">
        <f t="shared" ca="1" si="42"/>
        <v>1.2933617508832835</v>
      </c>
      <c r="J239" s="115">
        <f t="shared" ca="1" si="42"/>
        <v>1.499409662172468</v>
      </c>
      <c r="K239" s="115">
        <f t="shared" ca="1" si="42"/>
        <v>1.4819508229215561</v>
      </c>
      <c r="L239" s="115">
        <f t="shared" ca="1" si="42"/>
        <v>1.4935775388065213</v>
      </c>
      <c r="M239" s="115">
        <f t="shared" ca="1" si="42"/>
        <v>1.3419241349980737</v>
      </c>
      <c r="N239" s="115">
        <f t="shared" ca="1" si="42"/>
        <v>1.193245000000001</v>
      </c>
    </row>
    <row r="242" spans="1:14">
      <c r="A242" t="s">
        <v>13</v>
      </c>
      <c r="B242" s="244" t="s">
        <v>193</v>
      </c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4" spans="1:14">
      <c r="A244" t="s">
        <v>13</v>
      </c>
      <c r="B244" s="70" t="s">
        <v>194</v>
      </c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</row>
    <row r="245" spans="1:14">
      <c r="B245" s="5" t="s">
        <v>30</v>
      </c>
      <c r="C245" s="3"/>
      <c r="D245" s="5">
        <v>1988</v>
      </c>
      <c r="E245" s="5">
        <v>1989</v>
      </c>
      <c r="F245" s="5">
        <v>1990</v>
      </c>
      <c r="G245" s="5">
        <v>1991</v>
      </c>
      <c r="H245" s="5">
        <v>1992</v>
      </c>
      <c r="I245" s="5">
        <v>1993</v>
      </c>
      <c r="J245" s="5">
        <v>1994</v>
      </c>
      <c r="K245" s="5">
        <v>1995</v>
      </c>
      <c r="L245" s="5">
        <v>1996</v>
      </c>
      <c r="M245" s="5">
        <v>1997</v>
      </c>
      <c r="N245" s="5">
        <v>1998</v>
      </c>
    </row>
    <row r="246" spans="1:14">
      <c r="B246" t="s">
        <v>195</v>
      </c>
      <c r="G246">
        <v>2</v>
      </c>
      <c r="H246">
        <v>4</v>
      </c>
      <c r="I246">
        <v>4</v>
      </c>
      <c r="J246">
        <v>4.5</v>
      </c>
      <c r="K246">
        <v>5.5</v>
      </c>
      <c r="L246">
        <v>6.5</v>
      </c>
      <c r="M246">
        <v>5.5</v>
      </c>
      <c r="N246">
        <v>0</v>
      </c>
    </row>
    <row r="247" spans="1:14">
      <c r="B247" t="s">
        <v>196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15</v>
      </c>
    </row>
    <row r="248" spans="1:14">
      <c r="B248" t="s">
        <v>197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</row>
    <row r="249" spans="1:14">
      <c r="B249" t="s">
        <v>198</v>
      </c>
      <c r="G249">
        <v>2</v>
      </c>
      <c r="H249">
        <v>4</v>
      </c>
      <c r="I249">
        <v>4</v>
      </c>
      <c r="J249">
        <v>4.5</v>
      </c>
      <c r="K249">
        <v>5.5</v>
      </c>
      <c r="L249">
        <v>6.5</v>
      </c>
      <c r="M249">
        <v>5.5</v>
      </c>
      <c r="N249">
        <v>15</v>
      </c>
    </row>
    <row r="250" spans="1:14">
      <c r="B250" t="s">
        <v>199</v>
      </c>
      <c r="G250">
        <v>-1.7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</row>
    <row r="253" spans="1:14">
      <c r="A253" t="s">
        <v>13</v>
      </c>
      <c r="B253" s="107" t="s">
        <v>200</v>
      </c>
      <c r="C253" s="108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</row>
    <row r="254" spans="1:14">
      <c r="B254" s="5" t="s">
        <v>30</v>
      </c>
      <c r="C254" s="3"/>
      <c r="D254" s="5">
        <v>1988</v>
      </c>
      <c r="E254" s="5">
        <v>1989</v>
      </c>
      <c r="F254" s="5">
        <v>1990</v>
      </c>
      <c r="G254" s="5">
        <v>1991</v>
      </c>
      <c r="H254" s="5">
        <v>1992</v>
      </c>
      <c r="I254" s="5">
        <v>1993</v>
      </c>
      <c r="J254" s="5">
        <v>1994</v>
      </c>
      <c r="K254" s="5">
        <v>1995</v>
      </c>
      <c r="L254" s="5">
        <v>1996</v>
      </c>
      <c r="M254" s="5">
        <v>1997</v>
      </c>
      <c r="N254" s="5">
        <v>1998</v>
      </c>
    </row>
    <row r="255" spans="1:14">
      <c r="B255" t="s">
        <v>195</v>
      </c>
      <c r="G255">
        <v>2</v>
      </c>
      <c r="H255">
        <v>4</v>
      </c>
      <c r="I255">
        <v>4</v>
      </c>
      <c r="J255">
        <v>4.5</v>
      </c>
      <c r="K255">
        <v>5.5</v>
      </c>
      <c r="L255">
        <v>6.5</v>
      </c>
      <c r="M255">
        <v>5.5</v>
      </c>
      <c r="N255">
        <v>0</v>
      </c>
    </row>
    <row r="256" spans="1:14">
      <c r="B256" t="s">
        <v>196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15</v>
      </c>
    </row>
    <row r="257" spans="1:16">
      <c r="B257" t="s">
        <v>197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</row>
    <row r="258" spans="1:16">
      <c r="B258" t="s">
        <v>198</v>
      </c>
      <c r="G258">
        <v>2</v>
      </c>
      <c r="H258">
        <v>4</v>
      </c>
      <c r="I258">
        <v>4</v>
      </c>
      <c r="J258">
        <v>4.5</v>
      </c>
      <c r="K258">
        <v>5.5</v>
      </c>
      <c r="L258">
        <v>6.5</v>
      </c>
      <c r="M258">
        <v>5.5</v>
      </c>
      <c r="N258">
        <v>15</v>
      </c>
    </row>
    <row r="259" spans="1:16">
      <c r="B259" t="s">
        <v>199</v>
      </c>
      <c r="G259">
        <v>-1.7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</row>
    <row r="260" spans="1:16">
      <c r="B260" t="s">
        <v>1316</v>
      </c>
      <c r="G260" s="24">
        <f t="shared" ref="G260:N260" si="43">G199-G258</f>
        <v>3.3356500000000002</v>
      </c>
      <c r="H260" s="24">
        <f t="shared" si="43"/>
        <v>2.5356500000000004</v>
      </c>
      <c r="I260" s="24">
        <f t="shared" si="43"/>
        <v>1.6600000000000001</v>
      </c>
      <c r="J260" s="24">
        <f t="shared" si="43"/>
        <v>2.5099999999999989</v>
      </c>
      <c r="K260" s="24">
        <f t="shared" si="43"/>
        <v>3.0500000000000007</v>
      </c>
      <c r="L260" s="24">
        <f t="shared" si="43"/>
        <v>3.6100000000000012</v>
      </c>
      <c r="M260" s="24">
        <f t="shared" si="43"/>
        <v>6.34</v>
      </c>
      <c r="N260" s="24">
        <f t="shared" si="43"/>
        <v>-1.42</v>
      </c>
    </row>
    <row r="264" spans="1:16">
      <c r="A264" t="s">
        <v>13</v>
      </c>
      <c r="B264" s="109" t="s">
        <v>191</v>
      </c>
      <c r="C264" s="110"/>
      <c r="D264" s="110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P264" s="16" t="s">
        <v>202</v>
      </c>
    </row>
    <row r="265" spans="1:16">
      <c r="B265" s="5" t="s">
        <v>30</v>
      </c>
      <c r="C265" s="3"/>
      <c r="D265" s="5">
        <v>1988</v>
      </c>
      <c r="E265" s="5">
        <v>1989</v>
      </c>
      <c r="F265" s="5">
        <v>1990</v>
      </c>
      <c r="G265" s="5">
        <v>1991</v>
      </c>
      <c r="H265" s="5">
        <v>1992</v>
      </c>
      <c r="I265" s="5">
        <v>1993</v>
      </c>
      <c r="J265" s="5">
        <v>1994</v>
      </c>
      <c r="K265" s="5">
        <v>1995</v>
      </c>
      <c r="L265" s="5">
        <v>1996</v>
      </c>
      <c r="M265" s="5">
        <v>1997</v>
      </c>
      <c r="N265" s="5">
        <v>1998</v>
      </c>
    </row>
    <row r="266" spans="1:16">
      <c r="B266" t="s">
        <v>203</v>
      </c>
      <c r="G266" s="24">
        <v>0</v>
      </c>
      <c r="H266" s="24">
        <f>G270</f>
        <v>1.7</v>
      </c>
      <c r="I266" s="24">
        <f t="shared" ref="I266:N266" si="44">H270</f>
        <v>1.7</v>
      </c>
      <c r="J266" s="24">
        <f t="shared" ca="1" si="44"/>
        <v>0</v>
      </c>
      <c r="K266" s="24">
        <f t="shared" ca="1" si="44"/>
        <v>0</v>
      </c>
      <c r="L266" s="24">
        <f t="shared" ca="1" si="44"/>
        <v>0</v>
      </c>
      <c r="M266" s="24">
        <f t="shared" ca="1" si="44"/>
        <v>0</v>
      </c>
      <c r="N266" s="24">
        <f t="shared" ca="1" si="44"/>
        <v>0</v>
      </c>
      <c r="P266" s="16" t="s">
        <v>1351</v>
      </c>
    </row>
    <row r="267" spans="1:16">
      <c r="B267" s="13" t="s">
        <v>1353</v>
      </c>
      <c r="G267" s="24">
        <f>-G250</f>
        <v>1.7</v>
      </c>
      <c r="H267" s="24">
        <v>0</v>
      </c>
      <c r="I267" s="24">
        <v>0</v>
      </c>
      <c r="J267" s="24">
        <v>0</v>
      </c>
      <c r="K267" s="24">
        <v>0</v>
      </c>
      <c r="L267" s="24">
        <v>0</v>
      </c>
      <c r="M267" s="24">
        <v>0</v>
      </c>
      <c r="N267" s="24">
        <v>0</v>
      </c>
      <c r="P267" s="16"/>
    </row>
    <row r="268" spans="1:16">
      <c r="B268" s="13" t="s">
        <v>204</v>
      </c>
      <c r="D268" s="18"/>
      <c r="E268" s="18"/>
      <c r="F268" s="18"/>
      <c r="G268" s="24">
        <f ca="1">G237</f>
        <v>3.6272334698078152</v>
      </c>
      <c r="H268" s="24">
        <f t="shared" ref="H268:N268" ca="1" si="45">H237</f>
        <v>8.2540785528000669</v>
      </c>
      <c r="I268" s="24">
        <f ca="1">I237+H294</f>
        <v>13.304673773491166</v>
      </c>
      <c r="J268" s="24">
        <f t="shared" ca="1" si="45"/>
        <v>8.509409662172466</v>
      </c>
      <c r="K268" s="24">
        <f t="shared" ca="1" si="45"/>
        <v>10.031950822921559</v>
      </c>
      <c r="L268" s="24">
        <f t="shared" ca="1" si="45"/>
        <v>11.603577538806524</v>
      </c>
      <c r="M268" s="24">
        <f t="shared" ca="1" si="45"/>
        <v>13.181924134998074</v>
      </c>
      <c r="N268" s="24">
        <f t="shared" ca="1" si="45"/>
        <v>14.773245000000001</v>
      </c>
      <c r="P268" s="16"/>
    </row>
    <row r="269" spans="1:16">
      <c r="B269" s="13" t="s">
        <v>205</v>
      </c>
      <c r="D269" s="18"/>
      <c r="E269" s="18"/>
      <c r="F269" s="18"/>
      <c r="G269" s="24">
        <v>0</v>
      </c>
      <c r="H269" s="24">
        <f>0</f>
        <v>0</v>
      </c>
      <c r="I269" s="24">
        <f ca="1">MIN(I266,I268)</f>
        <v>1.7</v>
      </c>
      <c r="J269" s="24">
        <f ca="1">MIN(J266,J268)</f>
        <v>0</v>
      </c>
      <c r="K269" s="24">
        <f t="shared" ref="K269:N269" ca="1" si="46">MIN(K266,K268)</f>
        <v>0</v>
      </c>
      <c r="L269" s="24">
        <f t="shared" ca="1" si="46"/>
        <v>0</v>
      </c>
      <c r="M269" s="24">
        <f t="shared" ca="1" si="46"/>
        <v>0</v>
      </c>
      <c r="N269" s="24">
        <f t="shared" ca="1" si="46"/>
        <v>0</v>
      </c>
      <c r="P269" s="16"/>
    </row>
    <row r="270" spans="1:16">
      <c r="B270" t="s">
        <v>206</v>
      </c>
      <c r="D270" s="14"/>
      <c r="E270" s="14"/>
      <c r="F270" s="14"/>
      <c r="G270" s="24">
        <f>G266+G267-G269</f>
        <v>1.7</v>
      </c>
      <c r="H270" s="24">
        <f t="shared" ref="H270:N270" si="47">H266+H267-H269</f>
        <v>1.7</v>
      </c>
      <c r="I270" s="24">
        <f t="shared" ca="1" si="47"/>
        <v>0</v>
      </c>
      <c r="J270" s="24">
        <f t="shared" ca="1" si="47"/>
        <v>0</v>
      </c>
      <c r="K270" s="24">
        <f t="shared" ca="1" si="47"/>
        <v>0</v>
      </c>
      <c r="L270" s="24">
        <f t="shared" ca="1" si="47"/>
        <v>0</v>
      </c>
      <c r="M270" s="24">
        <f t="shared" ca="1" si="47"/>
        <v>0</v>
      </c>
      <c r="N270" s="24">
        <f t="shared" ca="1" si="47"/>
        <v>0</v>
      </c>
      <c r="P270" s="16"/>
    </row>
    <row r="271" spans="1:16">
      <c r="B271" t="s">
        <v>1320</v>
      </c>
      <c r="D271" s="14"/>
      <c r="E271" s="14"/>
      <c r="F271" s="14"/>
      <c r="G271" s="24">
        <f>AVERAGE(G266,G270)</f>
        <v>0.85</v>
      </c>
      <c r="H271" s="24">
        <f t="shared" ref="H271:N271" si="48">AVERAGE(H266,H270)</f>
        <v>1.7</v>
      </c>
      <c r="I271" s="24">
        <f ca="1">AVERAGE(I266,I270)</f>
        <v>0.85</v>
      </c>
      <c r="J271" s="24">
        <f t="shared" ca="1" si="48"/>
        <v>0</v>
      </c>
      <c r="K271" s="24">
        <f t="shared" ca="1" si="48"/>
        <v>0</v>
      </c>
      <c r="L271" s="24">
        <f t="shared" ca="1" si="48"/>
        <v>0</v>
      </c>
      <c r="M271" s="24">
        <f t="shared" ca="1" si="48"/>
        <v>0</v>
      </c>
      <c r="N271" s="24">
        <f t="shared" ca="1" si="48"/>
        <v>0</v>
      </c>
      <c r="P271" s="16"/>
    </row>
    <row r="272" spans="1:16">
      <c r="D272" s="14"/>
      <c r="E272" s="14"/>
      <c r="F272" s="14"/>
      <c r="G272" s="24"/>
      <c r="H272" s="24"/>
      <c r="I272" s="24"/>
      <c r="J272" s="24"/>
      <c r="K272" s="24"/>
      <c r="L272" s="24"/>
      <c r="M272" s="24"/>
      <c r="N272" s="24"/>
      <c r="P272" s="16"/>
    </row>
    <row r="273" spans="2:16">
      <c r="B273" t="s">
        <v>207</v>
      </c>
      <c r="G273" s="24">
        <f>'Debt items'!C13</f>
        <v>32</v>
      </c>
      <c r="H273" s="24">
        <f t="shared" ref="H273:N273" ca="1" si="49">G276</f>
        <v>30</v>
      </c>
      <c r="I273" s="24">
        <f t="shared" ca="1" si="49"/>
        <v>26</v>
      </c>
      <c r="J273" s="24">
        <f t="shared" ca="1" si="49"/>
        <v>14.395326226508834</v>
      </c>
      <c r="K273" s="24">
        <f t="shared" ca="1" si="49"/>
        <v>5.8859165643363678</v>
      </c>
      <c r="L273" s="24">
        <f t="shared" ca="1" si="49"/>
        <v>0</v>
      </c>
      <c r="M273" s="24">
        <f t="shared" ca="1" si="49"/>
        <v>0</v>
      </c>
      <c r="N273" s="24">
        <f t="shared" ca="1" si="49"/>
        <v>0</v>
      </c>
      <c r="P273" s="16" t="s">
        <v>1329</v>
      </c>
    </row>
    <row r="274" spans="2:16">
      <c r="B274" t="s">
        <v>208</v>
      </c>
      <c r="D274" s="18"/>
      <c r="E274" s="18"/>
      <c r="F274" s="18"/>
      <c r="G274" s="24">
        <f t="shared" ref="G274:J274" ca="1" si="50">IF(G273&gt;0,MIN(G268-G269,G273),G268)</f>
        <v>3.6272334698078152</v>
      </c>
      <c r="H274" s="24">
        <f t="shared" ca="1" si="50"/>
        <v>8.2540785528000669</v>
      </c>
      <c r="I274" s="24">
        <f t="shared" ca="1" si="50"/>
        <v>11.604673773491166</v>
      </c>
      <c r="J274" s="24">
        <f t="shared" ca="1" si="50"/>
        <v>8.509409662172466</v>
      </c>
      <c r="K274" s="24">
        <f ca="1">IF(K273&gt;0,MIN(K268-K269,K273),K268)</f>
        <v>5.8859165643363678</v>
      </c>
      <c r="L274" s="24">
        <f ca="1">IF(L273&gt;0,MIN(L268-L269,L273),L268)</f>
        <v>11.603577538806524</v>
      </c>
      <c r="M274" s="24">
        <f t="shared" ref="M274:N274" ca="1" si="51">IF(M273&gt;0,MIN(M268-M269,M273),M268)</f>
        <v>13.181924134998074</v>
      </c>
      <c r="N274" s="24">
        <f t="shared" ca="1" si="51"/>
        <v>14.773245000000001</v>
      </c>
      <c r="P274" s="16"/>
    </row>
    <row r="275" spans="2:16">
      <c r="B275" t="s">
        <v>209</v>
      </c>
      <c r="D275" s="18"/>
      <c r="E275" s="18"/>
      <c r="F275" s="18"/>
      <c r="G275" s="24">
        <f ca="1">MIN(MIN(G273,G274),G255)</f>
        <v>2</v>
      </c>
      <c r="H275" s="24">
        <f ca="1">MIN(MIN(H273,H274),H255)</f>
        <v>4</v>
      </c>
      <c r="I275" s="24">
        <f ca="1">MIN(I273,I274)</f>
        <v>11.604673773491166</v>
      </c>
      <c r="J275" s="24">
        <f t="shared" ref="J275:N275" ca="1" si="52">MIN(J273,J274)</f>
        <v>8.509409662172466</v>
      </c>
      <c r="K275" s="24">
        <f t="shared" ca="1" si="52"/>
        <v>5.8859165643363678</v>
      </c>
      <c r="L275" s="24">
        <f ca="1">MIN(L273,L274)</f>
        <v>0</v>
      </c>
      <c r="M275" s="24">
        <f t="shared" ca="1" si="52"/>
        <v>0</v>
      </c>
      <c r="N275" s="24">
        <f t="shared" ca="1" si="52"/>
        <v>0</v>
      </c>
      <c r="P275" s="16"/>
    </row>
    <row r="276" spans="2:16">
      <c r="B276" t="s">
        <v>210</v>
      </c>
      <c r="D276" s="18"/>
      <c r="E276" s="18"/>
      <c r="F276" s="18"/>
      <c r="G276" s="24">
        <f ca="1">G273-G275</f>
        <v>30</v>
      </c>
      <c r="H276" s="24">
        <f ca="1">H273-H275</f>
        <v>26</v>
      </c>
      <c r="I276" s="24">
        <f t="shared" ref="I276:N276" ca="1" si="53">I273-I275</f>
        <v>14.395326226508834</v>
      </c>
      <c r="J276" s="24">
        <f t="shared" ca="1" si="53"/>
        <v>5.8859165643363678</v>
      </c>
      <c r="K276" s="24">
        <f t="shared" ca="1" si="53"/>
        <v>0</v>
      </c>
      <c r="L276" s="24">
        <f t="shared" ca="1" si="53"/>
        <v>0</v>
      </c>
      <c r="M276" s="24">
        <f t="shared" ca="1" si="53"/>
        <v>0</v>
      </c>
      <c r="N276" s="24">
        <f t="shared" ca="1" si="53"/>
        <v>0</v>
      </c>
      <c r="P276" s="16"/>
    </row>
    <row r="277" spans="2:16">
      <c r="B277" t="s">
        <v>234</v>
      </c>
      <c r="D277" s="18"/>
      <c r="E277" s="18"/>
      <c r="F277" s="18"/>
      <c r="G277" s="24">
        <f ca="1">AVERAGE(G273,G276)</f>
        <v>31</v>
      </c>
      <c r="H277" s="24">
        <f t="shared" ref="H277" ca="1" si="54">AVERAGE(H273,H276)</f>
        <v>28</v>
      </c>
      <c r="I277" s="24">
        <f t="shared" ref="I277" ca="1" si="55">AVERAGE(I273,I276)</f>
        <v>20.197663113254418</v>
      </c>
      <c r="J277" s="24">
        <f t="shared" ref="J277" ca="1" si="56">AVERAGE(J273,J276)</f>
        <v>10.140621395422601</v>
      </c>
      <c r="K277" s="24">
        <f t="shared" ref="K277" ca="1" si="57">AVERAGE(K273,K276)</f>
        <v>2.9429582821681839</v>
      </c>
      <c r="L277" s="24">
        <f t="shared" ref="L277" ca="1" si="58">AVERAGE(L273,L276)</f>
        <v>0</v>
      </c>
      <c r="M277" s="24">
        <f t="shared" ref="M277" ca="1" si="59">AVERAGE(M273,M276)</f>
        <v>0</v>
      </c>
      <c r="N277" s="24">
        <f t="shared" ref="N277" ca="1" si="60">AVERAGE(N273,N276)</f>
        <v>0</v>
      </c>
      <c r="P277" s="16"/>
    </row>
    <row r="278" spans="2:16">
      <c r="D278" s="18"/>
      <c r="E278" s="18"/>
      <c r="F278" s="18"/>
      <c r="G278" s="24"/>
      <c r="H278" s="24"/>
      <c r="I278" s="24"/>
      <c r="J278" s="24"/>
      <c r="K278" s="24"/>
      <c r="L278" s="24"/>
      <c r="M278" s="24"/>
      <c r="N278" s="24"/>
      <c r="P278" s="16"/>
    </row>
    <row r="279" spans="2:16">
      <c r="B279" t="s">
        <v>211</v>
      </c>
      <c r="D279" s="18"/>
      <c r="E279" s="18"/>
      <c r="F279" s="18"/>
      <c r="G279" s="24">
        <v>15</v>
      </c>
      <c r="H279" s="24">
        <f t="shared" ref="H279:N279" ca="1" si="61">G282</f>
        <v>15</v>
      </c>
      <c r="I279" s="24">
        <f t="shared" ca="1" si="61"/>
        <v>15</v>
      </c>
      <c r="J279" s="24">
        <f t="shared" ca="1" si="61"/>
        <v>15</v>
      </c>
      <c r="K279" s="24">
        <f t="shared" ca="1" si="61"/>
        <v>15</v>
      </c>
      <c r="L279" s="24">
        <f t="shared" ca="1" si="61"/>
        <v>15</v>
      </c>
      <c r="M279" s="24">
        <f ca="1">L282</f>
        <v>3.3964224611934757</v>
      </c>
      <c r="N279" s="24">
        <f t="shared" ca="1" si="61"/>
        <v>0</v>
      </c>
      <c r="P279" s="16" t="s">
        <v>1330</v>
      </c>
    </row>
    <row r="280" spans="2:16">
      <c r="B280" t="s">
        <v>212</v>
      </c>
      <c r="D280" s="18"/>
      <c r="E280" s="18"/>
      <c r="F280" s="18"/>
      <c r="G280" s="24">
        <f t="shared" ref="G280:M280" ca="1" si="62">IF(G279&gt;0,MIN(G274-G275,G279),G274)</f>
        <v>1.6272334698078152</v>
      </c>
      <c r="H280" s="24">
        <f t="shared" ca="1" si="62"/>
        <v>4.2540785528000669</v>
      </c>
      <c r="I280" s="24">
        <f t="shared" ca="1" si="62"/>
        <v>0</v>
      </c>
      <c r="J280" s="24">
        <f t="shared" ca="1" si="62"/>
        <v>0</v>
      </c>
      <c r="K280" s="24">
        <f t="shared" ca="1" si="62"/>
        <v>0</v>
      </c>
      <c r="L280" s="24">
        <f t="shared" ca="1" si="62"/>
        <v>11.603577538806524</v>
      </c>
      <c r="M280" s="24">
        <f t="shared" ca="1" si="62"/>
        <v>3.3964224611934757</v>
      </c>
      <c r="N280" s="24">
        <f ca="1">IF(N279&gt;0,MIN(N274-N275,N279),N274)</f>
        <v>14.773245000000001</v>
      </c>
      <c r="P280" s="16"/>
    </row>
    <row r="281" spans="2:16">
      <c r="B281" t="s">
        <v>213</v>
      </c>
      <c r="D281" s="18"/>
      <c r="E281" s="18"/>
      <c r="F281" s="18"/>
      <c r="G281" s="24">
        <f t="shared" ref="G281:M281" ca="1" si="63">IF(G276&gt;0,0,MIN(G279,G280))</f>
        <v>0</v>
      </c>
      <c r="H281" s="24">
        <f t="shared" ca="1" si="63"/>
        <v>0</v>
      </c>
      <c r="I281" s="24">
        <f t="shared" ca="1" si="63"/>
        <v>0</v>
      </c>
      <c r="J281" s="24">
        <f t="shared" ca="1" si="63"/>
        <v>0</v>
      </c>
      <c r="K281" s="24">
        <f t="shared" ca="1" si="63"/>
        <v>0</v>
      </c>
      <c r="L281" s="24">
        <f t="shared" ca="1" si="63"/>
        <v>11.603577538806524</v>
      </c>
      <c r="M281" s="24">
        <f t="shared" ca="1" si="63"/>
        <v>3.3964224611934757</v>
      </c>
      <c r="N281" s="24">
        <f ca="1">IF(N276&gt;0,0,MIN(N279,N280))</f>
        <v>0</v>
      </c>
      <c r="P281" s="16"/>
    </row>
    <row r="282" spans="2:16">
      <c r="B282" t="s">
        <v>214</v>
      </c>
      <c r="D282" s="18"/>
      <c r="E282" s="18"/>
      <c r="F282" s="18"/>
      <c r="G282" s="24">
        <f t="shared" ref="G282:N282" ca="1" si="64">G279-G281</f>
        <v>15</v>
      </c>
      <c r="H282" s="24">
        <f t="shared" ca="1" si="64"/>
        <v>15</v>
      </c>
      <c r="I282" s="24">
        <f t="shared" ca="1" si="64"/>
        <v>15</v>
      </c>
      <c r="J282" s="24">
        <f t="shared" ca="1" si="64"/>
        <v>15</v>
      </c>
      <c r="K282" s="24">
        <f t="shared" ca="1" si="64"/>
        <v>15</v>
      </c>
      <c r="L282" s="24">
        <f t="shared" ca="1" si="64"/>
        <v>3.3964224611934757</v>
      </c>
      <c r="M282" s="24">
        <f t="shared" ca="1" si="64"/>
        <v>0</v>
      </c>
      <c r="N282" s="24">
        <f t="shared" ca="1" si="64"/>
        <v>0</v>
      </c>
      <c r="P282" s="16"/>
    </row>
    <row r="283" spans="2:16">
      <c r="B283" t="s">
        <v>236</v>
      </c>
      <c r="D283" s="18"/>
      <c r="E283" s="18"/>
      <c r="F283" s="18"/>
      <c r="G283" s="24">
        <f ca="1">AVERAGE(G279,G282)</f>
        <v>15</v>
      </c>
      <c r="H283" s="24">
        <f t="shared" ref="H283" ca="1" si="65">AVERAGE(H279,H282)</f>
        <v>15</v>
      </c>
      <c r="I283" s="24">
        <f t="shared" ref="I283" ca="1" si="66">AVERAGE(I279,I282)</f>
        <v>15</v>
      </c>
      <c r="J283" s="24">
        <f t="shared" ref="J283" ca="1" si="67">AVERAGE(J279,J282)</f>
        <v>15</v>
      </c>
      <c r="K283" s="24">
        <f t="shared" ref="K283" ca="1" si="68">AVERAGE(K279,K282)</f>
        <v>15</v>
      </c>
      <c r="L283" s="24">
        <f t="shared" ref="L283" ca="1" si="69">AVERAGE(L279,L282)</f>
        <v>9.198211230596737</v>
      </c>
      <c r="M283" s="24">
        <f t="shared" ref="M283" ca="1" si="70">AVERAGE(M279,M282)</f>
        <v>1.6982112305967378</v>
      </c>
      <c r="N283" s="24">
        <f t="shared" ref="N283" ca="1" si="71">AVERAGE(N279,N282)</f>
        <v>0</v>
      </c>
      <c r="P283" s="16"/>
    </row>
    <row r="284" spans="2:16">
      <c r="D284" s="18"/>
      <c r="E284" s="18"/>
      <c r="F284" s="18"/>
      <c r="G284" s="24"/>
      <c r="H284" s="24"/>
      <c r="I284" s="24"/>
      <c r="J284" s="24"/>
      <c r="K284" s="24"/>
      <c r="L284" s="24"/>
      <c r="M284" s="24"/>
      <c r="N284" s="24"/>
      <c r="P284" s="16"/>
    </row>
    <row r="285" spans="2:16">
      <c r="B285" t="s">
        <v>215</v>
      </c>
      <c r="D285" s="18"/>
      <c r="E285" s="18"/>
      <c r="F285" s="18"/>
      <c r="G285" s="24">
        <f>'Debt valuation'!D99</f>
        <v>11</v>
      </c>
      <c r="H285" s="24">
        <f ca="1">G288</f>
        <v>11</v>
      </c>
      <c r="I285" s="24">
        <f t="shared" ref="I285:N285" ca="1" si="72">H288</f>
        <v>11</v>
      </c>
      <c r="J285" s="24">
        <f t="shared" ca="1" si="72"/>
        <v>11</v>
      </c>
      <c r="K285" s="24">
        <f t="shared" ca="1" si="72"/>
        <v>11</v>
      </c>
      <c r="L285" s="24">
        <f t="shared" ca="1" si="72"/>
        <v>11</v>
      </c>
      <c r="M285" s="24">
        <f t="shared" ca="1" si="72"/>
        <v>11</v>
      </c>
      <c r="N285" s="24">
        <f t="shared" ca="1" si="72"/>
        <v>11</v>
      </c>
      <c r="P285" s="16" t="s">
        <v>1331</v>
      </c>
    </row>
    <row r="286" spans="2:16">
      <c r="B286" t="s">
        <v>216</v>
      </c>
      <c r="D286" s="18"/>
      <c r="E286" s="18"/>
      <c r="F286" s="18"/>
      <c r="G286" s="24">
        <f ca="1">MIN(G285,G280-G281)</f>
        <v>1.6272334698078152</v>
      </c>
      <c r="H286" s="24">
        <f t="shared" ref="H286:L286" ca="1" si="73">MIN(H285,H280-H281)</f>
        <v>4.2540785528000669</v>
      </c>
      <c r="I286" s="24">
        <f ca="1">MIN(I285,I280-I281)</f>
        <v>0</v>
      </c>
      <c r="J286" s="24">
        <f t="shared" ca="1" si="73"/>
        <v>0</v>
      </c>
      <c r="K286" s="24">
        <f t="shared" ca="1" si="73"/>
        <v>0</v>
      </c>
      <c r="L286" s="24">
        <f t="shared" ca="1" si="73"/>
        <v>0</v>
      </c>
      <c r="M286" s="24">
        <f ca="1">MIN(M285,M280-M281)</f>
        <v>0</v>
      </c>
      <c r="N286" s="24">
        <f ca="1">MIN(N285,N280-N281)</f>
        <v>11</v>
      </c>
    </row>
    <row r="287" spans="2:16">
      <c r="B287" t="s">
        <v>217</v>
      </c>
      <c r="D287" s="18"/>
      <c r="E287" s="18"/>
      <c r="F287" s="18"/>
      <c r="G287" s="24">
        <f t="shared" ref="G287:M287" ca="1" si="74">IF(AND(G270=0,G276=0,G282=0)*1=1,G286,0)</f>
        <v>0</v>
      </c>
      <c r="H287" s="24">
        <f t="shared" ca="1" si="74"/>
        <v>0</v>
      </c>
      <c r="I287" s="24">
        <f t="shared" ca="1" si="74"/>
        <v>0</v>
      </c>
      <c r="J287" s="24">
        <f t="shared" ca="1" si="74"/>
        <v>0</v>
      </c>
      <c r="K287" s="24">
        <f t="shared" ca="1" si="74"/>
        <v>0</v>
      </c>
      <c r="L287" s="24">
        <f t="shared" ca="1" si="74"/>
        <v>0</v>
      </c>
      <c r="M287" s="24">
        <f t="shared" ca="1" si="74"/>
        <v>0</v>
      </c>
      <c r="N287" s="24">
        <f ca="1">IF(AND(N270=0,N276=0,N282=0)*1=1,N286,0)</f>
        <v>11</v>
      </c>
      <c r="O287" s="24"/>
      <c r="P287" s="24"/>
    </row>
    <row r="288" spans="2:16">
      <c r="B288" t="s">
        <v>218</v>
      </c>
      <c r="D288" s="18"/>
      <c r="E288" s="18"/>
      <c r="F288" s="18"/>
      <c r="G288" s="24">
        <f ca="1">G285-G287</f>
        <v>11</v>
      </c>
      <c r="H288" s="24">
        <f t="shared" ref="H288:N288" ca="1" si="75">H285-H287</f>
        <v>11</v>
      </c>
      <c r="I288" s="24">
        <f t="shared" ca="1" si="75"/>
        <v>11</v>
      </c>
      <c r="J288" s="24">
        <f t="shared" ca="1" si="75"/>
        <v>11</v>
      </c>
      <c r="K288" s="24">
        <f t="shared" ca="1" si="75"/>
        <v>11</v>
      </c>
      <c r="L288" s="24">
        <f t="shared" ca="1" si="75"/>
        <v>11</v>
      </c>
      <c r="M288" s="24">
        <f t="shared" ca="1" si="75"/>
        <v>11</v>
      </c>
      <c r="N288" s="24">
        <f t="shared" ca="1" si="75"/>
        <v>0</v>
      </c>
    </row>
    <row r="289" spans="2:14">
      <c r="B289" t="s">
        <v>243</v>
      </c>
      <c r="D289" s="18"/>
      <c r="E289" s="18"/>
      <c r="F289" s="18"/>
      <c r="G289" s="24">
        <f ca="1">AVERAGE(G285,G288)</f>
        <v>11</v>
      </c>
      <c r="H289" s="24">
        <f t="shared" ref="H289" ca="1" si="76">AVERAGE(H285,H288)</f>
        <v>11</v>
      </c>
      <c r="I289" s="24">
        <f t="shared" ref="I289" ca="1" si="77">AVERAGE(I285,I288)</f>
        <v>11</v>
      </c>
      <c r="J289" s="24">
        <f t="shared" ref="J289" ca="1" si="78">AVERAGE(J285,J288)</f>
        <v>11</v>
      </c>
      <c r="K289" s="24">
        <f t="shared" ref="K289" ca="1" si="79">AVERAGE(K285,K288)</f>
        <v>11</v>
      </c>
      <c r="L289" s="24">
        <f t="shared" ref="L289" ca="1" si="80">AVERAGE(L285,L288)</f>
        <v>11</v>
      </c>
      <c r="M289" s="24">
        <f t="shared" ref="M289" ca="1" si="81">AVERAGE(M285,M288)</f>
        <v>11</v>
      </c>
      <c r="N289" s="24">
        <f t="shared" ref="N289" ca="1" si="82">AVERAGE(N285,N288)</f>
        <v>5.5</v>
      </c>
    </row>
    <row r="290" spans="2:14">
      <c r="G290" s="24"/>
      <c r="H290" s="24"/>
      <c r="I290" s="24"/>
      <c r="J290" s="24"/>
      <c r="K290" s="24"/>
      <c r="L290" s="24"/>
      <c r="M290" s="24"/>
      <c r="N290" s="24"/>
    </row>
    <row r="291" spans="2:14">
      <c r="B291" t="s">
        <v>198</v>
      </c>
      <c r="D291" s="18"/>
      <c r="E291" s="18"/>
      <c r="F291" s="18"/>
      <c r="G291" s="24">
        <f t="shared" ref="G291:N291" ca="1" si="83">G275+G281+G287+G269</f>
        <v>2</v>
      </c>
      <c r="H291" s="24">
        <f t="shared" ca="1" si="83"/>
        <v>4</v>
      </c>
      <c r="I291" s="24">
        <f t="shared" ca="1" si="83"/>
        <v>13.304673773491166</v>
      </c>
      <c r="J291" s="24">
        <f t="shared" ca="1" si="83"/>
        <v>8.509409662172466</v>
      </c>
      <c r="K291" s="24">
        <f t="shared" ca="1" si="83"/>
        <v>5.8859165643363678</v>
      </c>
      <c r="L291" s="24">
        <f t="shared" ca="1" si="83"/>
        <v>11.603577538806524</v>
      </c>
      <c r="M291" s="24">
        <f t="shared" ca="1" si="83"/>
        <v>3.3964224611934757</v>
      </c>
      <c r="N291" s="24">
        <f t="shared" ca="1" si="83"/>
        <v>11</v>
      </c>
    </row>
    <row r="292" spans="2:14">
      <c r="B292" t="s">
        <v>1356</v>
      </c>
      <c r="D292" s="18"/>
      <c r="E292" s="18"/>
      <c r="F292" s="18"/>
      <c r="G292" s="24">
        <v>0</v>
      </c>
      <c r="H292" s="24">
        <v>0</v>
      </c>
      <c r="I292" s="24">
        <f ca="1">H294</f>
        <v>5.8813120226078821</v>
      </c>
      <c r="J292" s="24">
        <v>0</v>
      </c>
      <c r="K292" s="24">
        <v>0</v>
      </c>
      <c r="L292" s="24">
        <v>0</v>
      </c>
      <c r="M292" s="24">
        <v>0</v>
      </c>
      <c r="N292" s="24">
        <v>0</v>
      </c>
    </row>
    <row r="293" spans="2:14">
      <c r="B293" t="s">
        <v>201</v>
      </c>
      <c r="C293" s="18"/>
      <c r="D293" s="18"/>
      <c r="E293" s="18"/>
      <c r="G293" s="24">
        <f ca="1">G286-G287</f>
        <v>1.6272334698078152</v>
      </c>
      <c r="H293" s="24">
        <f ca="1">H286-H287</f>
        <v>4.2540785528000669</v>
      </c>
      <c r="I293" s="24">
        <f t="shared" ref="I293:N293" ca="1" si="84">I286-I287</f>
        <v>0</v>
      </c>
      <c r="J293" s="24">
        <f t="shared" ca="1" si="84"/>
        <v>0</v>
      </c>
      <c r="K293" s="24">
        <f t="shared" ca="1" si="84"/>
        <v>0</v>
      </c>
      <c r="L293" s="24">
        <f t="shared" ca="1" si="84"/>
        <v>0</v>
      </c>
      <c r="M293" s="24">
        <f t="shared" ca="1" si="84"/>
        <v>0</v>
      </c>
      <c r="N293" s="24">
        <f t="shared" ca="1" si="84"/>
        <v>0</v>
      </c>
    </row>
    <row r="294" spans="2:14">
      <c r="B294" t="s">
        <v>1352</v>
      </c>
      <c r="G294" s="24">
        <f ca="1">G293-G292</f>
        <v>1.6272334698078152</v>
      </c>
      <c r="H294" s="24">
        <f ca="1">H293+G294-H292</f>
        <v>5.8813120226078821</v>
      </c>
      <c r="I294" s="24">
        <f t="shared" ref="I294:N294" ca="1" si="85">I293+H294-I292</f>
        <v>0</v>
      </c>
      <c r="J294" s="24">
        <f t="shared" ca="1" si="85"/>
        <v>0</v>
      </c>
      <c r="K294" s="24">
        <f t="shared" ca="1" si="85"/>
        <v>0</v>
      </c>
      <c r="L294" s="24">
        <f t="shared" ca="1" si="85"/>
        <v>0</v>
      </c>
      <c r="M294" s="24">
        <f t="shared" ca="1" si="85"/>
        <v>0</v>
      </c>
      <c r="N294" s="24">
        <f t="shared" ca="1" si="85"/>
        <v>0</v>
      </c>
    </row>
    <row r="295" spans="2:14">
      <c r="F295" s="24"/>
      <c r="G295" s="24"/>
      <c r="H295" s="24"/>
      <c r="I295" s="24"/>
      <c r="J295" s="24"/>
      <c r="K295" s="24"/>
      <c r="L295" s="24"/>
      <c r="M295" s="24"/>
    </row>
    <row r="297" spans="2:14">
      <c r="B297" s="246" t="s">
        <v>219</v>
      </c>
      <c r="C297" s="14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2:14">
      <c r="B298" s="6"/>
      <c r="C298" s="6"/>
      <c r="D298" s="5">
        <v>1988</v>
      </c>
      <c r="E298" s="5">
        <v>1989</v>
      </c>
      <c r="F298" s="5">
        <v>1990</v>
      </c>
      <c r="G298" s="5">
        <v>1991</v>
      </c>
      <c r="H298" s="5">
        <v>1992</v>
      </c>
      <c r="I298" s="5">
        <v>1993</v>
      </c>
      <c r="J298" s="5">
        <v>1994</v>
      </c>
      <c r="K298" s="5">
        <v>1995</v>
      </c>
      <c r="L298" s="5">
        <v>1996</v>
      </c>
      <c r="M298" s="5">
        <v>1997</v>
      </c>
      <c r="N298" s="21">
        <v>1998</v>
      </c>
    </row>
    <row r="299" spans="2:14">
      <c r="B299" s="14" t="s">
        <v>220</v>
      </c>
      <c r="C299" s="14"/>
    </row>
    <row r="300" spans="2:14">
      <c r="B300" t="s">
        <v>221</v>
      </c>
      <c r="G300" s="24">
        <f>'Debt valuation'!E10</f>
        <v>4</v>
      </c>
      <c r="H300" s="24">
        <f>'Debt valuation'!F10</f>
        <v>4</v>
      </c>
      <c r="I300" s="24">
        <f>'Debt valuation'!G10</f>
        <v>4</v>
      </c>
      <c r="J300" s="24">
        <f>'Debt valuation'!H10</f>
        <v>4</v>
      </c>
      <c r="K300" s="24">
        <f>'Debt valuation'!I10</f>
        <v>4</v>
      </c>
      <c r="L300" s="24">
        <f>'Debt valuation'!J10</f>
        <v>4</v>
      </c>
      <c r="M300" s="24">
        <f>'Debt valuation'!K10</f>
        <v>4</v>
      </c>
      <c r="N300" s="24">
        <f>'Debt valuation'!L10</f>
        <v>0</v>
      </c>
    </row>
    <row r="301" spans="2:14">
      <c r="B301" s="76" t="s">
        <v>222</v>
      </c>
      <c r="C301" s="76"/>
      <c r="G301" s="24">
        <f>AVERAGE(G266,G270)</f>
        <v>0.85</v>
      </c>
      <c r="H301" s="24">
        <f t="shared" ref="H301:N301" si="86">AVERAGE(H266,H270)</f>
        <v>1.7</v>
      </c>
      <c r="I301" s="24">
        <f t="shared" ca="1" si="86"/>
        <v>0.85</v>
      </c>
      <c r="J301" s="24">
        <f t="shared" ca="1" si="86"/>
        <v>0</v>
      </c>
      <c r="K301" s="24">
        <f t="shared" ca="1" si="86"/>
        <v>0</v>
      </c>
      <c r="L301" s="24">
        <f t="shared" ca="1" si="86"/>
        <v>0</v>
      </c>
      <c r="M301" s="24">
        <f t="shared" ca="1" si="86"/>
        <v>0</v>
      </c>
      <c r="N301" s="24">
        <f t="shared" ca="1" si="86"/>
        <v>0</v>
      </c>
    </row>
    <row r="302" spans="2:14">
      <c r="B302" s="76" t="s">
        <v>223</v>
      </c>
      <c r="C302" s="76"/>
      <c r="G302" s="160">
        <f>'Debt valuation'!E12</f>
        <v>6.7500000000000004E-2</v>
      </c>
      <c r="H302" s="71">
        <f>'Debt valuation'!F12</f>
        <v>4.2033333333333339E-2</v>
      </c>
      <c r="I302" s="71">
        <f>'Debt valuation'!G12</f>
        <v>3.6833333333333336E-2</v>
      </c>
      <c r="J302" s="71">
        <f>'Debt valuation'!H12</f>
        <v>6.0349999999999994E-2</v>
      </c>
      <c r="K302" s="71">
        <f>'Debt valuation'!I12</f>
        <v>6.0041666666666667E-2</v>
      </c>
      <c r="L302" s="71">
        <f>'Debt valuation'!J12</f>
        <v>5.8708333333333335E-2</v>
      </c>
      <c r="M302" s="71">
        <f>'Debt valuation'!K12</f>
        <v>5.9849999999999993E-2</v>
      </c>
      <c r="N302" s="71">
        <f>'Debt valuation'!L12</f>
        <v>0</v>
      </c>
    </row>
    <row r="303" spans="2:14">
      <c r="B303" s="79" t="s">
        <v>224</v>
      </c>
      <c r="C303" s="79"/>
      <c r="D303" s="3"/>
      <c r="E303" s="3"/>
      <c r="F303" s="3"/>
      <c r="G303" s="158">
        <f>'Debt valuation'!E13</f>
        <v>2.2499999999999999E-2</v>
      </c>
      <c r="H303" s="158">
        <f>'Debt valuation'!F13</f>
        <v>2.2499999999999999E-2</v>
      </c>
      <c r="I303" s="158">
        <f>'Debt valuation'!G13</f>
        <v>2.2499999999999999E-2</v>
      </c>
      <c r="J303" s="158">
        <f>'Debt valuation'!H13</f>
        <v>2.2499999999999999E-2</v>
      </c>
      <c r="K303" s="158">
        <f>'Debt valuation'!I13</f>
        <v>2.2499999999999999E-2</v>
      </c>
      <c r="L303" s="158">
        <f>'Debt valuation'!J13</f>
        <v>2.2499999999999999E-2</v>
      </c>
      <c r="M303" s="158">
        <f>'Debt valuation'!K13</f>
        <v>2.2499999999999999E-2</v>
      </c>
      <c r="N303" s="158">
        <f>'Debt valuation'!L13</f>
        <v>0</v>
      </c>
    </row>
    <row r="304" spans="2:14">
      <c r="B304" s="76" t="s">
        <v>225</v>
      </c>
      <c r="C304" s="76"/>
      <c r="G304" s="160">
        <f t="shared" ref="G304:N304" si="87">G302+G303</f>
        <v>0.09</v>
      </c>
      <c r="H304" s="71">
        <f t="shared" si="87"/>
        <v>6.4533333333333331E-2</v>
      </c>
      <c r="I304" s="71">
        <f t="shared" si="87"/>
        <v>5.9333333333333335E-2</v>
      </c>
      <c r="J304" s="71">
        <f t="shared" si="87"/>
        <v>8.2849999999999993E-2</v>
      </c>
      <c r="K304" s="71">
        <f t="shared" si="87"/>
        <v>8.2541666666666666E-2</v>
      </c>
      <c r="L304" s="71">
        <f t="shared" si="87"/>
        <v>8.1208333333333327E-2</v>
      </c>
      <c r="M304" s="71">
        <f t="shared" si="87"/>
        <v>8.2349999999999993E-2</v>
      </c>
      <c r="N304" s="71">
        <f t="shared" si="87"/>
        <v>0</v>
      </c>
    </row>
    <row r="305" spans="2:14">
      <c r="B305" s="76" t="s">
        <v>226</v>
      </c>
      <c r="C305" s="76"/>
      <c r="G305" s="24">
        <f t="shared" ref="G305:N305" si="88">G304*G301</f>
        <v>7.6499999999999999E-2</v>
      </c>
      <c r="H305" s="24">
        <f t="shared" si="88"/>
        <v>0.10970666666666666</v>
      </c>
      <c r="I305" s="24">
        <f t="shared" ca="1" si="88"/>
        <v>5.0433333333333337E-2</v>
      </c>
      <c r="J305" s="24">
        <f t="shared" ca="1" si="88"/>
        <v>0</v>
      </c>
      <c r="K305" s="24">
        <f t="shared" ca="1" si="88"/>
        <v>0</v>
      </c>
      <c r="L305" s="24">
        <f t="shared" ca="1" si="88"/>
        <v>0</v>
      </c>
      <c r="M305" s="24">
        <f t="shared" ca="1" si="88"/>
        <v>0</v>
      </c>
      <c r="N305" s="24">
        <f t="shared" ca="1" si="88"/>
        <v>0</v>
      </c>
    </row>
    <row r="306" spans="2:14">
      <c r="B306" s="76" t="s">
        <v>227</v>
      </c>
      <c r="C306" s="76"/>
      <c r="G306" s="24">
        <f t="shared" ref="G306:N306" si="89">G300-G301</f>
        <v>3.15</v>
      </c>
      <c r="H306" s="24">
        <f t="shared" si="89"/>
        <v>2.2999999999999998</v>
      </c>
      <c r="I306" s="24">
        <f t="shared" ca="1" si="89"/>
        <v>3.15</v>
      </c>
      <c r="J306" s="24">
        <f t="shared" ca="1" si="89"/>
        <v>4</v>
      </c>
      <c r="K306" s="24">
        <f t="shared" ca="1" si="89"/>
        <v>4</v>
      </c>
      <c r="L306" s="24">
        <f t="shared" ca="1" si="89"/>
        <v>4</v>
      </c>
      <c r="M306" s="24">
        <f t="shared" ca="1" si="89"/>
        <v>4</v>
      </c>
      <c r="N306" s="24">
        <f t="shared" ca="1" si="89"/>
        <v>0</v>
      </c>
    </row>
    <row r="307" spans="2:14">
      <c r="B307" s="76" t="s">
        <v>228</v>
      </c>
      <c r="C307" s="76"/>
      <c r="G307" s="160">
        <f>'Debt valuation'!E17</f>
        <v>5.0000000000000001E-3</v>
      </c>
      <c r="H307" s="160">
        <f>'Debt valuation'!F17</f>
        <v>5.0000000000000001E-3</v>
      </c>
      <c r="I307" s="160">
        <f>'Debt valuation'!G17</f>
        <v>5.0000000000000001E-3</v>
      </c>
      <c r="J307" s="160">
        <f>'Debt valuation'!H17</f>
        <v>5.0000000000000001E-3</v>
      </c>
      <c r="K307" s="160">
        <f>'Debt valuation'!I17</f>
        <v>5.0000000000000001E-3</v>
      </c>
      <c r="L307" s="160">
        <f>'Debt valuation'!J17</f>
        <v>5.0000000000000001E-3</v>
      </c>
      <c r="M307" s="160">
        <f>'Debt valuation'!K17</f>
        <v>5.0000000000000001E-3</v>
      </c>
      <c r="N307" s="160">
        <f>'Debt valuation'!L17</f>
        <v>0</v>
      </c>
    </row>
    <row r="308" spans="2:14">
      <c r="B308" s="137" t="s">
        <v>229</v>
      </c>
      <c r="C308" s="137"/>
      <c r="D308" s="156"/>
      <c r="E308" s="156"/>
      <c r="F308" s="156"/>
      <c r="G308" s="157">
        <f t="shared" ref="G308:N308" si="90">G306*G307</f>
        <v>1.575E-2</v>
      </c>
      <c r="H308" s="157">
        <f t="shared" si="90"/>
        <v>1.15E-2</v>
      </c>
      <c r="I308" s="157">
        <f t="shared" ca="1" si="90"/>
        <v>1.575E-2</v>
      </c>
      <c r="J308" s="157">
        <f t="shared" ca="1" si="90"/>
        <v>0.02</v>
      </c>
      <c r="K308" s="157">
        <f t="shared" ca="1" si="90"/>
        <v>0.02</v>
      </c>
      <c r="L308" s="157">
        <f t="shared" ca="1" si="90"/>
        <v>0.02</v>
      </c>
      <c r="M308" s="157">
        <f t="shared" ca="1" si="90"/>
        <v>0.02</v>
      </c>
      <c r="N308" s="157">
        <f t="shared" ca="1" si="90"/>
        <v>0</v>
      </c>
    </row>
    <row r="309" spans="2:14">
      <c r="B309" s="76" t="s">
        <v>230</v>
      </c>
      <c r="C309" s="76"/>
      <c r="G309" s="24">
        <f t="shared" ref="G309:N309" si="91">G305+G308</f>
        <v>9.2249999999999999E-2</v>
      </c>
      <c r="H309" s="24">
        <f t="shared" si="91"/>
        <v>0.12120666666666666</v>
      </c>
      <c r="I309" s="24">
        <f t="shared" ca="1" si="91"/>
        <v>6.6183333333333344E-2</v>
      </c>
      <c r="J309" s="24">
        <f t="shared" ca="1" si="91"/>
        <v>0.02</v>
      </c>
      <c r="K309" s="24">
        <f t="shared" ca="1" si="91"/>
        <v>0.02</v>
      </c>
      <c r="L309" s="24">
        <f t="shared" ca="1" si="91"/>
        <v>0.02</v>
      </c>
      <c r="M309" s="24">
        <f t="shared" ca="1" si="91"/>
        <v>0.02</v>
      </c>
      <c r="N309" s="24">
        <f t="shared" ca="1" si="91"/>
        <v>0</v>
      </c>
    </row>
    <row r="311" spans="2:14">
      <c r="B311" s="76"/>
      <c r="C311" s="76"/>
    </row>
    <row r="312" spans="2:14">
      <c r="B312" s="264" t="s">
        <v>231</v>
      </c>
      <c r="C312" s="122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 spans="2:14">
      <c r="B313" s="76" t="s">
        <v>232</v>
      </c>
      <c r="C313" s="76"/>
      <c r="G313" s="24">
        <f t="shared" ref="G313:N313" si="92">G273</f>
        <v>32</v>
      </c>
      <c r="H313" s="24">
        <f t="shared" ca="1" si="92"/>
        <v>30</v>
      </c>
      <c r="I313" s="24">
        <f t="shared" ca="1" si="92"/>
        <v>26</v>
      </c>
      <c r="J313" s="24">
        <f t="shared" ca="1" si="92"/>
        <v>14.395326226508834</v>
      </c>
      <c r="K313" s="24">
        <f t="shared" ca="1" si="92"/>
        <v>5.8859165643363678</v>
      </c>
      <c r="L313" s="24">
        <f t="shared" ca="1" si="92"/>
        <v>0</v>
      </c>
      <c r="M313" s="24">
        <f t="shared" ca="1" si="92"/>
        <v>0</v>
      </c>
      <c r="N313" s="24">
        <f t="shared" ca="1" si="92"/>
        <v>0</v>
      </c>
    </row>
    <row r="314" spans="2:14">
      <c r="B314" s="76" t="s">
        <v>233</v>
      </c>
      <c r="C314" s="76"/>
      <c r="G314" s="24">
        <f t="shared" ref="G314:N314" ca="1" si="93">G276</f>
        <v>30</v>
      </c>
      <c r="H314" s="24">
        <f t="shared" ca="1" si="93"/>
        <v>26</v>
      </c>
      <c r="I314" s="24">
        <f t="shared" ca="1" si="93"/>
        <v>14.395326226508834</v>
      </c>
      <c r="J314" s="24">
        <f t="shared" ca="1" si="93"/>
        <v>5.8859165643363678</v>
      </c>
      <c r="K314" s="24">
        <f t="shared" ca="1" si="93"/>
        <v>0</v>
      </c>
      <c r="L314" s="24">
        <f t="shared" ca="1" si="93"/>
        <v>0</v>
      </c>
      <c r="M314" s="24">
        <f t="shared" ca="1" si="93"/>
        <v>0</v>
      </c>
      <c r="N314" s="24">
        <f t="shared" ca="1" si="93"/>
        <v>0</v>
      </c>
    </row>
    <row r="315" spans="2:14">
      <c r="B315" s="76" t="s">
        <v>234</v>
      </c>
      <c r="C315" s="76"/>
      <c r="G315" s="24">
        <f t="shared" ref="G315:N315" ca="1" si="94">AVERAGE(G313:G314)</f>
        <v>31</v>
      </c>
      <c r="H315" s="24">
        <f t="shared" ca="1" si="94"/>
        <v>28</v>
      </c>
      <c r="I315" s="24">
        <f t="shared" ca="1" si="94"/>
        <v>20.197663113254418</v>
      </c>
      <c r="J315" s="24">
        <f t="shared" ca="1" si="94"/>
        <v>10.140621395422601</v>
      </c>
      <c r="K315" s="24">
        <f t="shared" ca="1" si="94"/>
        <v>2.9429582821681839</v>
      </c>
      <c r="L315" s="24">
        <f t="shared" ca="1" si="94"/>
        <v>0</v>
      </c>
      <c r="M315" s="24">
        <f t="shared" ca="1" si="94"/>
        <v>0</v>
      </c>
      <c r="N315" s="24">
        <f t="shared" ca="1" si="94"/>
        <v>0</v>
      </c>
    </row>
    <row r="316" spans="2:14">
      <c r="B316" s="76" t="s">
        <v>223</v>
      </c>
      <c r="C316" s="76"/>
      <c r="G316" s="71">
        <f>'Debt valuation'!E47</f>
        <v>6.7500000000000004E-2</v>
      </c>
      <c r="H316" s="71">
        <f>'Debt valuation'!F47</f>
        <v>4.2033333333333339E-2</v>
      </c>
      <c r="I316" s="71">
        <f>'Debt valuation'!G47</f>
        <v>3.6833333333333336E-2</v>
      </c>
      <c r="J316" s="71">
        <f>'Debt valuation'!H47</f>
        <v>6.0349999999999994E-2</v>
      </c>
      <c r="K316" s="71">
        <f>'Debt valuation'!I47</f>
        <v>6.0041666666666667E-2</v>
      </c>
      <c r="L316" s="71">
        <f>'Debt valuation'!J47</f>
        <v>5.8708333333333335E-2</v>
      </c>
      <c r="M316" s="71">
        <f>'Debt valuation'!K47</f>
        <v>5.9849999999999993E-2</v>
      </c>
      <c r="N316" s="71">
        <f>'Debt valuation'!L47</f>
        <v>0</v>
      </c>
    </row>
    <row r="317" spans="2:14">
      <c r="B317" s="76" t="s">
        <v>224</v>
      </c>
      <c r="C317" s="76"/>
      <c r="D317" s="3"/>
      <c r="E317" s="3"/>
      <c r="F317" s="3"/>
      <c r="G317" s="158">
        <f>'Debt valuation'!E48</f>
        <v>2.2499999999999999E-2</v>
      </c>
      <c r="H317" s="158">
        <f>'Debt valuation'!F48</f>
        <v>2.2499999999999999E-2</v>
      </c>
      <c r="I317" s="158">
        <f>'Debt valuation'!G48</f>
        <v>2.2499999999999999E-2</v>
      </c>
      <c r="J317" s="158">
        <f>'Debt valuation'!H48</f>
        <v>2.2499999999999999E-2</v>
      </c>
      <c r="K317" s="158">
        <f>'Debt valuation'!I48</f>
        <v>2.2499999999999999E-2</v>
      </c>
      <c r="L317" s="158">
        <f>'Debt valuation'!J48</f>
        <v>2.2499999999999999E-2</v>
      </c>
      <c r="M317" s="158">
        <f>'Debt valuation'!K48</f>
        <v>2.2499999999999999E-2</v>
      </c>
      <c r="N317" s="158">
        <f>'Debt valuation'!L48</f>
        <v>0</v>
      </c>
    </row>
    <row r="318" spans="2:14">
      <c r="B318" s="125" t="s">
        <v>225</v>
      </c>
      <c r="C318" s="125"/>
      <c r="G318" s="71">
        <f>'Debt valuation'!E49</f>
        <v>0.09</v>
      </c>
      <c r="H318" s="71">
        <f>'Debt valuation'!F49</f>
        <v>6.4533333333333331E-2</v>
      </c>
      <c r="I318" s="71">
        <f>'Debt valuation'!G49</f>
        <v>5.9333333333333335E-2</v>
      </c>
      <c r="J318" s="71">
        <f>'Debt valuation'!H49</f>
        <v>8.2849999999999993E-2</v>
      </c>
      <c r="K318" s="71">
        <f>'Debt valuation'!I49</f>
        <v>8.2541666666666666E-2</v>
      </c>
      <c r="L318" s="71">
        <f>'Debt valuation'!J49</f>
        <v>8.1208333333333327E-2</v>
      </c>
      <c r="M318" s="71">
        <f>'Debt valuation'!K49</f>
        <v>8.2349999999999993E-2</v>
      </c>
      <c r="N318" s="71">
        <f>'Debt valuation'!L49</f>
        <v>0</v>
      </c>
    </row>
    <row r="319" spans="2:14">
      <c r="B319" s="76" t="s">
        <v>226</v>
      </c>
      <c r="C319" s="76"/>
      <c r="G319" s="24">
        <f t="shared" ref="G319:N319" ca="1" si="95">G318*G315</f>
        <v>2.79</v>
      </c>
      <c r="H319" s="24">
        <f t="shared" ca="1" si="95"/>
        <v>1.8069333333333333</v>
      </c>
      <c r="I319" s="24">
        <f t="shared" ca="1" si="95"/>
        <v>1.1983946780530954</v>
      </c>
      <c r="J319" s="24">
        <f t="shared" ca="1" si="95"/>
        <v>0.84015048261076242</v>
      </c>
      <c r="K319" s="24">
        <f t="shared" ca="1" si="95"/>
        <v>0.24291668154063217</v>
      </c>
      <c r="L319" s="24">
        <f t="shared" ca="1" si="95"/>
        <v>0</v>
      </c>
      <c r="M319" s="24">
        <f t="shared" ca="1" si="95"/>
        <v>0</v>
      </c>
      <c r="N319" s="24">
        <f t="shared" ca="1" si="95"/>
        <v>0</v>
      </c>
    </row>
    <row r="321" spans="2:14">
      <c r="B321" s="264" t="s">
        <v>235</v>
      </c>
      <c r="C321" s="122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 spans="2:14">
      <c r="B322" s="76" t="s">
        <v>211</v>
      </c>
      <c r="C322" s="76"/>
      <c r="G322" s="24">
        <f t="shared" ref="G322:N322" si="96">G279</f>
        <v>15</v>
      </c>
      <c r="H322" s="24">
        <f t="shared" ca="1" si="96"/>
        <v>15</v>
      </c>
      <c r="I322" s="24">
        <f t="shared" ca="1" si="96"/>
        <v>15</v>
      </c>
      <c r="J322" s="24">
        <f t="shared" ca="1" si="96"/>
        <v>15</v>
      </c>
      <c r="K322" s="24">
        <f t="shared" ca="1" si="96"/>
        <v>15</v>
      </c>
      <c r="L322" s="24">
        <f t="shared" ca="1" si="96"/>
        <v>15</v>
      </c>
      <c r="M322" s="24">
        <f t="shared" ca="1" si="96"/>
        <v>3.3964224611934757</v>
      </c>
      <c r="N322" s="24">
        <f t="shared" ca="1" si="96"/>
        <v>0</v>
      </c>
    </row>
    <row r="323" spans="2:14">
      <c r="B323" s="76" t="s">
        <v>214</v>
      </c>
      <c r="C323" s="76"/>
      <c r="G323" s="24">
        <f t="shared" ref="G323:N323" ca="1" si="97">G282</f>
        <v>15</v>
      </c>
      <c r="H323" s="24">
        <f t="shared" ca="1" si="97"/>
        <v>15</v>
      </c>
      <c r="I323" s="24">
        <f t="shared" ca="1" si="97"/>
        <v>15</v>
      </c>
      <c r="J323" s="24">
        <f t="shared" ca="1" si="97"/>
        <v>15</v>
      </c>
      <c r="K323" s="24">
        <f t="shared" ca="1" si="97"/>
        <v>15</v>
      </c>
      <c r="L323" s="24">
        <f t="shared" ca="1" si="97"/>
        <v>3.3964224611934757</v>
      </c>
      <c r="M323" s="24">
        <f t="shared" ca="1" si="97"/>
        <v>0</v>
      </c>
      <c r="N323" s="24">
        <f t="shared" ca="1" si="97"/>
        <v>0</v>
      </c>
    </row>
    <row r="324" spans="2:14">
      <c r="B324" s="76" t="s">
        <v>236</v>
      </c>
      <c r="C324" s="76"/>
      <c r="G324" s="24">
        <f t="shared" ref="G324:N324" ca="1" si="98">AVERAGE(G322:G323)</f>
        <v>15</v>
      </c>
      <c r="H324" s="24">
        <f t="shared" ca="1" si="98"/>
        <v>15</v>
      </c>
      <c r="I324" s="24">
        <f t="shared" ca="1" si="98"/>
        <v>15</v>
      </c>
      <c r="J324" s="24">
        <f t="shared" ca="1" si="98"/>
        <v>15</v>
      </c>
      <c r="K324" s="24">
        <f t="shared" ca="1" si="98"/>
        <v>15</v>
      </c>
      <c r="L324" s="24">
        <f t="shared" ca="1" si="98"/>
        <v>9.198211230596737</v>
      </c>
      <c r="M324" s="24">
        <f t="shared" ca="1" si="98"/>
        <v>1.6982112305967378</v>
      </c>
      <c r="N324" s="24">
        <f t="shared" ca="1" si="98"/>
        <v>0</v>
      </c>
    </row>
    <row r="325" spans="2:14">
      <c r="B325" s="76" t="s">
        <v>223</v>
      </c>
      <c r="C325" s="76"/>
      <c r="G325" s="71">
        <f>'Debt valuation'!E64</f>
        <v>6.7500000000000004E-2</v>
      </c>
      <c r="H325" s="71">
        <f>'Debt valuation'!F64</f>
        <v>4.2033333333333339E-2</v>
      </c>
      <c r="I325" s="71">
        <f>'Debt valuation'!G64</f>
        <v>3.6833333333333336E-2</v>
      </c>
      <c r="J325" s="71">
        <f>'Debt valuation'!H64</f>
        <v>6.0349999999999994E-2</v>
      </c>
      <c r="K325" s="71">
        <f>'Debt valuation'!I64</f>
        <v>6.0041666666666667E-2</v>
      </c>
      <c r="L325" s="71">
        <f>'Debt valuation'!J64</f>
        <v>5.8708333333333335E-2</v>
      </c>
      <c r="M325" s="71">
        <f>'Debt valuation'!K64</f>
        <v>5.9849999999999993E-2</v>
      </c>
      <c r="N325" s="71">
        <f>'Debt valuation'!L64</f>
        <v>5.4866666666666675E-2</v>
      </c>
    </row>
    <row r="326" spans="2:14">
      <c r="B326" s="76" t="s">
        <v>224</v>
      </c>
      <c r="C326" s="76"/>
      <c r="D326" s="3"/>
      <c r="E326" s="3"/>
      <c r="F326" s="3"/>
      <c r="G326" s="158">
        <f>'Debt valuation'!E65</f>
        <v>3.2500000000000001E-2</v>
      </c>
      <c r="H326" s="158">
        <f>'Debt valuation'!F65</f>
        <v>3.2500000000000001E-2</v>
      </c>
      <c r="I326" s="158">
        <f>'Debt valuation'!G65</f>
        <v>3.2500000000000001E-2</v>
      </c>
      <c r="J326" s="158">
        <f>'Debt valuation'!H65</f>
        <v>3.2500000000000001E-2</v>
      </c>
      <c r="K326" s="158">
        <f>'Debt valuation'!I65</f>
        <v>3.2500000000000001E-2</v>
      </c>
      <c r="L326" s="158">
        <f>'Debt valuation'!J65</f>
        <v>3.2500000000000001E-2</v>
      </c>
      <c r="M326" s="158">
        <f>'Debt valuation'!K65</f>
        <v>3.2500000000000001E-2</v>
      </c>
      <c r="N326" s="158">
        <f>'Debt valuation'!L65</f>
        <v>3.2500000000000001E-2</v>
      </c>
    </row>
    <row r="327" spans="2:14">
      <c r="B327" s="125" t="s">
        <v>237</v>
      </c>
      <c r="C327" s="125"/>
      <c r="G327" s="71">
        <f>'Debt valuation'!E66</f>
        <v>0.1</v>
      </c>
      <c r="H327" s="71">
        <f>'Debt valuation'!F66</f>
        <v>7.453333333333334E-2</v>
      </c>
      <c r="I327" s="71">
        <f>'Debt valuation'!G66</f>
        <v>6.933333333333333E-2</v>
      </c>
      <c r="J327" s="71">
        <f>'Debt valuation'!H66</f>
        <v>9.2849999999999988E-2</v>
      </c>
      <c r="K327" s="71">
        <f>'Debt valuation'!I66</f>
        <v>9.2541666666666661E-2</v>
      </c>
      <c r="L327" s="71">
        <f>'Debt valuation'!J66</f>
        <v>9.1208333333333336E-2</v>
      </c>
      <c r="M327" s="71">
        <f>'Debt valuation'!K66</f>
        <v>9.2349999999999988E-2</v>
      </c>
      <c r="N327" s="71">
        <f>'Debt valuation'!L66</f>
        <v>8.7366666666666676E-2</v>
      </c>
    </row>
    <row r="328" spans="2:14">
      <c r="B328" s="76" t="s">
        <v>226</v>
      </c>
      <c r="C328" s="76"/>
      <c r="G328" s="24">
        <f t="shared" ref="G328:N328" ca="1" si="99">G324*G327</f>
        <v>1.5</v>
      </c>
      <c r="H328" s="24">
        <f t="shared" ca="1" si="99"/>
        <v>1.1180000000000001</v>
      </c>
      <c r="I328" s="24">
        <f t="shared" ca="1" si="99"/>
        <v>1.04</v>
      </c>
      <c r="J328" s="24">
        <f t="shared" ca="1" si="99"/>
        <v>1.3927499999999999</v>
      </c>
      <c r="K328" s="24">
        <f t="shared" ca="1" si="99"/>
        <v>1.3881249999999998</v>
      </c>
      <c r="L328" s="24">
        <f t="shared" ca="1" si="99"/>
        <v>0.83895351599067736</v>
      </c>
      <c r="M328" s="24">
        <f t="shared" ca="1" si="99"/>
        <v>0.15682980714560871</v>
      </c>
      <c r="N328" s="24">
        <f t="shared" ca="1" si="99"/>
        <v>0</v>
      </c>
    </row>
    <row r="330" spans="2:14">
      <c r="B330" s="264" t="s">
        <v>238</v>
      </c>
      <c r="C330" s="122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</row>
    <row r="331" spans="2:14">
      <c r="B331" s="124" t="s">
        <v>215</v>
      </c>
      <c r="C331" s="124"/>
      <c r="G331">
        <f t="shared" ref="G331:N331" si="100">G285</f>
        <v>11</v>
      </c>
      <c r="H331">
        <f t="shared" ca="1" si="100"/>
        <v>11</v>
      </c>
      <c r="I331">
        <f t="shared" ca="1" si="100"/>
        <v>11</v>
      </c>
      <c r="J331">
        <f t="shared" ca="1" si="100"/>
        <v>11</v>
      </c>
      <c r="K331">
        <f t="shared" ca="1" si="100"/>
        <v>11</v>
      </c>
      <c r="L331">
        <f t="shared" ca="1" si="100"/>
        <v>11</v>
      </c>
      <c r="M331">
        <f t="shared" ca="1" si="100"/>
        <v>11</v>
      </c>
      <c r="N331">
        <f t="shared" ca="1" si="100"/>
        <v>11</v>
      </c>
    </row>
    <row r="332" spans="2:14">
      <c r="B332" s="124" t="s">
        <v>218</v>
      </c>
      <c r="C332" s="124"/>
      <c r="G332">
        <f t="shared" ref="G332:N332" ca="1" si="101">G288</f>
        <v>11</v>
      </c>
      <c r="H332">
        <f t="shared" ca="1" si="101"/>
        <v>11</v>
      </c>
      <c r="I332">
        <f t="shared" ca="1" si="101"/>
        <v>11</v>
      </c>
      <c r="J332">
        <f t="shared" ca="1" si="101"/>
        <v>11</v>
      </c>
      <c r="K332">
        <f t="shared" ca="1" si="101"/>
        <v>11</v>
      </c>
      <c r="L332">
        <f t="shared" ca="1" si="101"/>
        <v>11</v>
      </c>
      <c r="M332">
        <f t="shared" ca="1" si="101"/>
        <v>11</v>
      </c>
      <c r="N332">
        <f t="shared" ca="1" si="101"/>
        <v>0</v>
      </c>
    </row>
    <row r="333" spans="2:14">
      <c r="B333" s="124" t="s">
        <v>243</v>
      </c>
      <c r="C333" s="124"/>
      <c r="G333">
        <f t="shared" ref="G333:N333" ca="1" si="102">AVERAGE(G331:G332)</f>
        <v>11</v>
      </c>
      <c r="H333">
        <f t="shared" ca="1" si="102"/>
        <v>11</v>
      </c>
      <c r="I333">
        <f t="shared" ca="1" si="102"/>
        <v>11</v>
      </c>
      <c r="J333">
        <f t="shared" ca="1" si="102"/>
        <v>11</v>
      </c>
      <c r="K333">
        <f t="shared" ca="1" si="102"/>
        <v>11</v>
      </c>
      <c r="L333">
        <f t="shared" ca="1" si="102"/>
        <v>11</v>
      </c>
      <c r="M333">
        <f t="shared" ca="1" si="102"/>
        <v>11</v>
      </c>
      <c r="N333">
        <f t="shared" ca="1" si="102"/>
        <v>5.5</v>
      </c>
    </row>
    <row r="334" spans="2:14">
      <c r="B334" s="76" t="s">
        <v>239</v>
      </c>
      <c r="C334" s="76"/>
      <c r="G334" s="44">
        <f>'Debt valuation'!D94</f>
        <v>7.9074999999999993E-2</v>
      </c>
      <c r="H334" s="44">
        <f>'Debt valuation'!E94</f>
        <v>7.9074999999999993E-2</v>
      </c>
      <c r="I334" s="44">
        <f>'Debt valuation'!F94</f>
        <v>7.8450000000000006E-2</v>
      </c>
      <c r="J334" s="44">
        <f>'Debt valuation'!G94</f>
        <v>7.7600000000000002E-2</v>
      </c>
      <c r="K334" s="44">
        <f>'Debt valuation'!H94</f>
        <v>7.640000000000001E-2</v>
      </c>
      <c r="L334" s="44">
        <f>'Debt valuation'!I94</f>
        <v>7.4950000000000003E-2</v>
      </c>
      <c r="M334" s="44">
        <f>'Debt valuation'!J94</f>
        <v>7.3149999999999993E-2</v>
      </c>
      <c r="N334" s="44">
        <f>'Debt valuation'!K94</f>
        <v>7.1099999999999997E-2</v>
      </c>
    </row>
    <row r="335" spans="2:14">
      <c r="B335" s="79" t="s">
        <v>240</v>
      </c>
      <c r="C335" s="79"/>
      <c r="D335" s="3"/>
      <c r="E335" s="3"/>
      <c r="F335" s="3"/>
      <c r="G335" s="159">
        <f>'Debt valuation'!D95</f>
        <v>5.1999999999999998E-3</v>
      </c>
      <c r="H335" s="159">
        <f>'Debt valuation'!E95</f>
        <v>5.1999999999999998E-3</v>
      </c>
      <c r="I335" s="159">
        <f>'Debt valuation'!F95</f>
        <v>5.1999999999999998E-3</v>
      </c>
      <c r="J335" s="159">
        <f>'Debt valuation'!G95</f>
        <v>5.1999999999999998E-3</v>
      </c>
      <c r="K335" s="159">
        <f>'Debt valuation'!H95</f>
        <v>5.1999999999999998E-3</v>
      </c>
      <c r="L335" s="159">
        <f>'Debt valuation'!I95</f>
        <v>5.1999999999999998E-3</v>
      </c>
      <c r="M335" s="159">
        <f>'Debt valuation'!J95</f>
        <v>5.1999999999999998E-3</v>
      </c>
      <c r="N335" s="159">
        <f>'Debt valuation'!K95</f>
        <v>5.1999999999999998E-3</v>
      </c>
    </row>
    <row r="336" spans="2:14">
      <c r="B336" s="76" t="s">
        <v>241</v>
      </c>
      <c r="C336" s="76"/>
      <c r="G336" s="44">
        <f>'Debt valuation'!D96</f>
        <v>8.4274999999999989E-2</v>
      </c>
      <c r="H336" s="44">
        <f>'Debt valuation'!E96</f>
        <v>8.4274999999999989E-2</v>
      </c>
      <c r="I336" s="44">
        <f>'Debt valuation'!F96</f>
        <v>8.3650000000000002E-2</v>
      </c>
      <c r="J336" s="44">
        <f>'Debt valuation'!G96</f>
        <v>8.2799999999999999E-2</v>
      </c>
      <c r="K336" s="44">
        <f>'Debt valuation'!H96</f>
        <v>8.1600000000000006E-2</v>
      </c>
      <c r="L336" s="44">
        <f>'Debt valuation'!I96</f>
        <v>8.0149999999999999E-2</v>
      </c>
      <c r="M336" s="44">
        <f>'Debt valuation'!J96</f>
        <v>7.8349999999999989E-2</v>
      </c>
      <c r="N336" s="44">
        <f>'Debt valuation'!K96</f>
        <v>7.6299999999999993E-2</v>
      </c>
    </row>
    <row r="337" spans="1:16">
      <c r="B337" s="76" t="s">
        <v>244</v>
      </c>
      <c r="C337" s="76"/>
      <c r="G337" s="29"/>
      <c r="H337" s="29"/>
      <c r="I337" s="29">
        <f t="shared" ref="I337:N337" ca="1" si="103">I333*I336</f>
        <v>0.92015000000000002</v>
      </c>
      <c r="J337" s="29">
        <f t="shared" ca="1" si="103"/>
        <v>0.91079999999999994</v>
      </c>
      <c r="K337" s="29">
        <f t="shared" ca="1" si="103"/>
        <v>0.89760000000000006</v>
      </c>
      <c r="L337" s="29">
        <f t="shared" ca="1" si="103"/>
        <v>0.88165000000000004</v>
      </c>
      <c r="M337" s="29">
        <f t="shared" ca="1" si="103"/>
        <v>0.86184999999999989</v>
      </c>
      <c r="N337" s="29">
        <f t="shared" ca="1" si="103"/>
        <v>0.41964999999999997</v>
      </c>
    </row>
    <row r="338" spans="1:16">
      <c r="B338" s="76" t="s">
        <v>245</v>
      </c>
      <c r="C338" s="76"/>
      <c r="G338" s="29">
        <f ca="1">G333*G336</f>
        <v>0.92702499999999988</v>
      </c>
      <c r="H338" s="29">
        <f ca="1">H333*H336</f>
        <v>0.92702499999999988</v>
      </c>
      <c r="I338" s="29"/>
      <c r="J338" s="29"/>
      <c r="K338" s="29"/>
      <c r="L338" s="29"/>
      <c r="M338" s="29"/>
      <c r="N338" s="29"/>
    </row>
    <row r="339" spans="1:16">
      <c r="B339" s="125" t="s">
        <v>226</v>
      </c>
      <c r="C339" s="125"/>
      <c r="D339" s="22"/>
      <c r="E339" s="22"/>
      <c r="F339" s="22"/>
      <c r="G339" s="43">
        <f ca="1">SUM(G337:G338)</f>
        <v>0.92702499999999988</v>
      </c>
      <c r="H339" s="43">
        <f t="shared" ref="H339:N339" ca="1" si="104">SUM(H337:H338)</f>
        <v>0.92702499999999988</v>
      </c>
      <c r="I339" s="43">
        <f t="shared" ca="1" si="104"/>
        <v>0.92015000000000002</v>
      </c>
      <c r="J339" s="43">
        <f t="shared" ca="1" si="104"/>
        <v>0.91079999999999994</v>
      </c>
      <c r="K339" s="43">
        <f t="shared" ca="1" si="104"/>
        <v>0.89760000000000006</v>
      </c>
      <c r="L339" s="43">
        <f t="shared" ca="1" si="104"/>
        <v>0.88165000000000004</v>
      </c>
      <c r="M339" s="43">
        <f t="shared" ca="1" si="104"/>
        <v>0.86184999999999989</v>
      </c>
      <c r="N339" s="43">
        <f t="shared" ca="1" si="104"/>
        <v>0.41964999999999997</v>
      </c>
    </row>
    <row r="341" spans="1:16">
      <c r="B341" s="264" t="s">
        <v>249</v>
      </c>
      <c r="C341" s="122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</row>
    <row r="342" spans="1:16">
      <c r="B342" s="76" t="s">
        <v>1355</v>
      </c>
      <c r="C342" s="76"/>
      <c r="G342" s="24">
        <f>C32</f>
        <v>0</v>
      </c>
      <c r="H342" s="24">
        <f t="shared" ref="H342:N342" ca="1" si="105">G345</f>
        <v>1.6272334698078152</v>
      </c>
      <c r="I342" s="24">
        <f t="shared" ca="1" si="105"/>
        <v>5.8813120226078821</v>
      </c>
      <c r="J342" s="24">
        <f t="shared" ca="1" si="105"/>
        <v>0</v>
      </c>
      <c r="K342" s="24">
        <f t="shared" ca="1" si="105"/>
        <v>0</v>
      </c>
      <c r="L342" s="24">
        <f t="shared" ca="1" si="105"/>
        <v>0</v>
      </c>
      <c r="M342" s="24">
        <f t="shared" ca="1" si="105"/>
        <v>0</v>
      </c>
      <c r="N342" s="24">
        <f t="shared" ca="1" si="105"/>
        <v>0</v>
      </c>
    </row>
    <row r="343" spans="1:16">
      <c r="B343" s="76" t="s">
        <v>1344</v>
      </c>
      <c r="C343" s="76"/>
      <c r="G343" s="24">
        <f t="shared" ref="G343:N343" ca="1" si="106">G293-$C$32</f>
        <v>1.6272334698078152</v>
      </c>
      <c r="H343" s="24">
        <f t="shared" ca="1" si="106"/>
        <v>4.2540785528000669</v>
      </c>
      <c r="I343" s="24">
        <f t="shared" ca="1" si="106"/>
        <v>0</v>
      </c>
      <c r="J343" s="24">
        <f t="shared" ca="1" si="106"/>
        <v>0</v>
      </c>
      <c r="K343" s="24">
        <f t="shared" ca="1" si="106"/>
        <v>0</v>
      </c>
      <c r="L343" s="24">
        <f t="shared" ca="1" si="106"/>
        <v>0</v>
      </c>
      <c r="M343" s="24">
        <f t="shared" ca="1" si="106"/>
        <v>0</v>
      </c>
      <c r="N343" s="24">
        <f t="shared" ca="1" si="106"/>
        <v>0</v>
      </c>
    </row>
    <row r="344" spans="1:16">
      <c r="B344" s="76" t="s">
        <v>1357</v>
      </c>
      <c r="C344" s="76"/>
      <c r="G344" s="24">
        <f t="shared" ref="G344:N344" si="107">G292</f>
        <v>0</v>
      </c>
      <c r="H344" s="24">
        <f t="shared" si="107"/>
        <v>0</v>
      </c>
      <c r="I344" s="24">
        <f t="shared" ca="1" si="107"/>
        <v>5.8813120226078821</v>
      </c>
      <c r="J344" s="24">
        <f t="shared" si="107"/>
        <v>0</v>
      </c>
      <c r="K344" s="24">
        <f t="shared" si="107"/>
        <v>0</v>
      </c>
      <c r="L344" s="24">
        <f t="shared" si="107"/>
        <v>0</v>
      </c>
      <c r="M344" s="24">
        <f t="shared" si="107"/>
        <v>0</v>
      </c>
      <c r="N344" s="24">
        <f t="shared" si="107"/>
        <v>0</v>
      </c>
    </row>
    <row r="345" spans="1:16">
      <c r="B345" s="76" t="s">
        <v>250</v>
      </c>
      <c r="C345" s="76"/>
      <c r="G345" s="24">
        <f ca="1">G342+G343-G344</f>
        <v>1.6272334698078152</v>
      </c>
      <c r="H345" s="24">
        <f t="shared" ref="H345:N345" ca="1" si="108">H342+H343-H344</f>
        <v>5.8813120226078821</v>
      </c>
      <c r="I345" s="24">
        <f t="shared" ca="1" si="108"/>
        <v>0</v>
      </c>
      <c r="J345" s="24">
        <f t="shared" ca="1" si="108"/>
        <v>0</v>
      </c>
      <c r="K345" s="24">
        <f t="shared" ca="1" si="108"/>
        <v>0</v>
      </c>
      <c r="L345" s="24">
        <f t="shared" ca="1" si="108"/>
        <v>0</v>
      </c>
      <c r="M345" s="24">
        <f t="shared" ca="1" si="108"/>
        <v>0</v>
      </c>
      <c r="N345" s="24">
        <f t="shared" ca="1" si="108"/>
        <v>0</v>
      </c>
    </row>
    <row r="346" spans="1:16">
      <c r="B346" s="76" t="s">
        <v>251</v>
      </c>
      <c r="C346" s="76"/>
      <c r="G346" s="24">
        <f t="shared" ref="G346:N346" ca="1" si="109">AVERAGE(G342,G345)</f>
        <v>0.81361673490390762</v>
      </c>
      <c r="H346" s="24">
        <f t="shared" ca="1" si="109"/>
        <v>3.7542727462078487</v>
      </c>
      <c r="I346" s="24">
        <f t="shared" ca="1" si="109"/>
        <v>2.9406560113039411</v>
      </c>
      <c r="J346" s="24">
        <f t="shared" ca="1" si="109"/>
        <v>0</v>
      </c>
      <c r="K346" s="24">
        <f t="shared" ca="1" si="109"/>
        <v>0</v>
      </c>
      <c r="L346" s="24">
        <f t="shared" ca="1" si="109"/>
        <v>0</v>
      </c>
      <c r="M346" s="24">
        <f t="shared" ca="1" si="109"/>
        <v>0</v>
      </c>
      <c r="N346" s="24">
        <f t="shared" ca="1" si="109"/>
        <v>0</v>
      </c>
    </row>
    <row r="347" spans="1:16">
      <c r="B347" s="76" t="s">
        <v>1346</v>
      </c>
      <c r="C347" s="76"/>
      <c r="G347" s="37">
        <f>Q129</f>
        <v>9.5933326338194944E-2</v>
      </c>
      <c r="H347" s="37">
        <f>AVERAGE(G347,I347)</f>
        <v>5.6597311264379828E-2</v>
      </c>
      <c r="I347" s="37">
        <f t="shared" ref="I347:N347" si="110">S129</f>
        <v>1.7261296190564709E-2</v>
      </c>
      <c r="J347" s="37">
        <f t="shared" si="110"/>
        <v>2.4897174668618606E-2</v>
      </c>
      <c r="K347" s="37">
        <f t="shared" si="110"/>
        <v>2.9026911001963137E-2</v>
      </c>
      <c r="L347" s="37">
        <f t="shared" si="110"/>
        <v>3.2931568201277739E-2</v>
      </c>
      <c r="M347" s="37">
        <f t="shared" si="110"/>
        <v>3.2116243441125278E-2</v>
      </c>
      <c r="N347" s="37">
        <f t="shared" si="110"/>
        <v>4.9025729257722701E-2</v>
      </c>
      <c r="P347" s="16" t="s">
        <v>1358</v>
      </c>
    </row>
    <row r="348" spans="1:16">
      <c r="B348" s="125" t="s">
        <v>249</v>
      </c>
      <c r="C348" s="125"/>
      <c r="D348" s="22"/>
      <c r="E348" s="22"/>
      <c r="F348" s="22"/>
      <c r="G348" s="43">
        <f t="shared" ref="G348:N348" ca="1" si="111">G346*G347</f>
        <v>7.8052959743753217E-2</v>
      </c>
      <c r="H348" s="43">
        <f t="shared" ca="1" si="111"/>
        <v>0.21248174318850366</v>
      </c>
      <c r="I348" s="43">
        <f t="shared" ca="1" si="111"/>
        <v>5.0759534405681928E-2</v>
      </c>
      <c r="J348" s="43">
        <f t="shared" ca="1" si="111"/>
        <v>0</v>
      </c>
      <c r="K348" s="43">
        <f t="shared" ca="1" si="111"/>
        <v>0</v>
      </c>
      <c r="L348" s="43">
        <f t="shared" ca="1" si="111"/>
        <v>0</v>
      </c>
      <c r="M348" s="43">
        <f t="shared" ca="1" si="111"/>
        <v>0</v>
      </c>
      <c r="N348" s="43">
        <f t="shared" ca="1" si="111"/>
        <v>0</v>
      </c>
    </row>
    <row r="349" spans="1:16">
      <c r="B349" s="76"/>
    </row>
    <row r="350" spans="1:16">
      <c r="B350" s="76"/>
    </row>
    <row r="351" spans="1:16" s="155" customFormat="1">
      <c r="A351" s="155" t="s">
        <v>13</v>
      </c>
      <c r="B351" s="142" t="s">
        <v>1361</v>
      </c>
    </row>
    <row r="352" spans="1:16">
      <c r="B352" s="76"/>
    </row>
    <row r="353" spans="1:15">
      <c r="H353" s="14">
        <v>1991</v>
      </c>
      <c r="I353" s="14">
        <v>1992</v>
      </c>
      <c r="J353" s="14">
        <v>1993</v>
      </c>
      <c r="K353" s="14">
        <v>1994</v>
      </c>
      <c r="L353" s="14">
        <v>1995</v>
      </c>
      <c r="M353" s="14">
        <v>1996</v>
      </c>
      <c r="N353" s="14">
        <v>1997</v>
      </c>
      <c r="O353" s="14">
        <v>1998</v>
      </c>
    </row>
    <row r="354" spans="1:15">
      <c r="B354" s="177" t="s">
        <v>1362</v>
      </c>
      <c r="C354" s="21"/>
      <c r="D354" s="21"/>
      <c r="E354" s="21"/>
      <c r="F354" s="21"/>
      <c r="G354" s="21"/>
      <c r="H354" s="42">
        <f t="shared" ref="H354:O354" ca="1" si="112">OFFSET(H354,$D$23,0)</f>
        <v>55.124349999999993</v>
      </c>
      <c r="I354" s="42">
        <f t="shared" ca="1" si="112"/>
        <v>49.528699999999994</v>
      </c>
      <c r="J354" s="42">
        <f t="shared" ca="1" si="112"/>
        <v>44.338699999999996</v>
      </c>
      <c r="K354" s="42">
        <f t="shared" ca="1" si="112"/>
        <v>37.328699999999998</v>
      </c>
      <c r="L354" s="42">
        <f t="shared" ca="1" si="112"/>
        <v>28.778700000000004</v>
      </c>
      <c r="M354" s="42">
        <f t="shared" ca="1" si="112"/>
        <v>18.668700000000001</v>
      </c>
      <c r="N354" s="42">
        <f t="shared" ca="1" si="112"/>
        <v>6.8286999999999942</v>
      </c>
      <c r="O354" s="42">
        <f t="shared" ca="1" si="112"/>
        <v>-6.7513000000000041</v>
      </c>
    </row>
    <row r="355" spans="1:15">
      <c r="B355" s="76" t="s">
        <v>1363</v>
      </c>
      <c r="H355" s="24">
        <f t="shared" ref="H355:O355" si="113">SUM(D131:D135)-Q127</f>
        <v>55.124349999999993</v>
      </c>
      <c r="I355" s="24">
        <f t="shared" si="113"/>
        <v>49.528699999999994</v>
      </c>
      <c r="J355" s="24">
        <f t="shared" si="113"/>
        <v>44.338699999999996</v>
      </c>
      <c r="K355" s="24">
        <f t="shared" si="113"/>
        <v>37.328699999999998</v>
      </c>
      <c r="L355" s="24">
        <f t="shared" si="113"/>
        <v>28.778700000000004</v>
      </c>
      <c r="M355" s="24">
        <f t="shared" si="113"/>
        <v>18.668700000000001</v>
      </c>
      <c r="N355" s="24">
        <f t="shared" si="113"/>
        <v>6.8286999999999942</v>
      </c>
      <c r="O355" s="24">
        <f t="shared" si="113"/>
        <v>-6.7513000000000041</v>
      </c>
    </row>
    <row r="356" spans="1:15">
      <c r="B356" s="76" t="s">
        <v>1364</v>
      </c>
      <c r="H356" s="24">
        <f t="shared" ref="H356:O356" ca="1" si="114">G270+G276+G282+G288+D131-G345</f>
        <v>0</v>
      </c>
      <c r="I356" s="24">
        <f t="shared" ca="1" si="114"/>
        <v>0</v>
      </c>
      <c r="J356" s="24">
        <f t="shared" ca="1" si="114"/>
        <v>0</v>
      </c>
      <c r="K356" s="24">
        <f t="shared" ca="1" si="114"/>
        <v>0</v>
      </c>
      <c r="L356" s="24">
        <f t="shared" ca="1" si="114"/>
        <v>0</v>
      </c>
      <c r="M356" s="24">
        <f t="shared" ca="1" si="114"/>
        <v>0</v>
      </c>
      <c r="N356" s="24">
        <f t="shared" ca="1" si="114"/>
        <v>0</v>
      </c>
      <c r="O356" s="24">
        <f t="shared" ca="1" si="114"/>
        <v>0</v>
      </c>
    </row>
    <row r="357" spans="1:15">
      <c r="B357" s="76"/>
    </row>
    <row r="359" spans="1:15" s="155" customFormat="1">
      <c r="A359" s="155" t="s">
        <v>13</v>
      </c>
      <c r="B359" s="142" t="s">
        <v>252</v>
      </c>
    </row>
    <row r="360" spans="1:15">
      <c r="B360" s="16"/>
      <c r="H360" s="181">
        <v>1</v>
      </c>
      <c r="I360" s="181">
        <v>2</v>
      </c>
      <c r="J360" s="181">
        <v>3</v>
      </c>
      <c r="K360" s="181">
        <v>4</v>
      </c>
      <c r="L360" s="181">
        <v>5</v>
      </c>
      <c r="M360" s="181">
        <v>6</v>
      </c>
      <c r="N360" s="181">
        <v>7</v>
      </c>
      <c r="O360" s="181">
        <v>8</v>
      </c>
    </row>
    <row r="361" spans="1:15">
      <c r="B361" s="173" t="s">
        <v>253</v>
      </c>
      <c r="C361" s="6"/>
      <c r="D361" s="6"/>
      <c r="E361" s="6"/>
      <c r="F361" s="21" t="s">
        <v>1360</v>
      </c>
      <c r="G361" s="6"/>
      <c r="H361" s="21">
        <v>1991</v>
      </c>
      <c r="I361" s="21">
        <v>1992</v>
      </c>
      <c r="J361" s="21">
        <v>1993</v>
      </c>
      <c r="K361" s="21">
        <v>1994</v>
      </c>
      <c r="L361" s="21">
        <v>1995</v>
      </c>
      <c r="M361" s="21">
        <v>1996</v>
      </c>
      <c r="N361" s="21">
        <v>1997</v>
      </c>
      <c r="O361" s="21">
        <v>1998</v>
      </c>
    </row>
    <row r="362" spans="1:15">
      <c r="B362" t="s">
        <v>40</v>
      </c>
      <c r="H362">
        <f t="shared" ref="H362:O362" si="115">G101</f>
        <v>13.32</v>
      </c>
      <c r="I362">
        <f t="shared" si="115"/>
        <v>16.579999999999998</v>
      </c>
      <c r="J362">
        <f t="shared" si="115"/>
        <v>18.899999999999999</v>
      </c>
      <c r="K362">
        <f t="shared" si="115"/>
        <v>20.36</v>
      </c>
      <c r="L362">
        <f t="shared" si="115"/>
        <v>21.93</v>
      </c>
      <c r="M362">
        <f t="shared" si="115"/>
        <v>23.509999999999998</v>
      </c>
      <c r="N362">
        <f t="shared" si="115"/>
        <v>25.22</v>
      </c>
      <c r="O362">
        <f t="shared" si="115"/>
        <v>27.07</v>
      </c>
    </row>
    <row r="364" spans="1:15">
      <c r="B364" t="s">
        <v>69</v>
      </c>
      <c r="F364" s="174">
        <f>G44</f>
        <v>4.93993993993994</v>
      </c>
      <c r="H364" s="24">
        <f t="shared" ref="H364:O367" si="116">$F364*H$362</f>
        <v>65.8</v>
      </c>
      <c r="I364" s="24">
        <f t="shared" si="116"/>
        <v>81.904204204204191</v>
      </c>
      <c r="J364" s="24">
        <f t="shared" si="116"/>
        <v>93.364864864864856</v>
      </c>
      <c r="K364" s="24">
        <f t="shared" si="116"/>
        <v>100.57717717717718</v>
      </c>
      <c r="L364" s="24">
        <f t="shared" si="116"/>
        <v>108.33288288288288</v>
      </c>
      <c r="M364" s="24">
        <f t="shared" si="116"/>
        <v>116.13798798798798</v>
      </c>
      <c r="N364" s="24">
        <f t="shared" si="116"/>
        <v>124.58528528528528</v>
      </c>
      <c r="O364" s="24">
        <f t="shared" si="116"/>
        <v>133.72417417417418</v>
      </c>
    </row>
    <row r="365" spans="1:15">
      <c r="F365" s="175">
        <f>F364+1.5</f>
        <v>6.43993993993994</v>
      </c>
      <c r="H365" s="24">
        <f t="shared" si="116"/>
        <v>85.78</v>
      </c>
      <c r="I365" s="24">
        <f t="shared" si="116"/>
        <v>106.7742042042042</v>
      </c>
      <c r="J365" s="24">
        <f t="shared" si="116"/>
        <v>121.71486486486485</v>
      </c>
      <c r="K365" s="24">
        <f t="shared" si="116"/>
        <v>131.11717717717718</v>
      </c>
      <c r="L365" s="24">
        <f t="shared" si="116"/>
        <v>141.22788288288288</v>
      </c>
      <c r="M365" s="24">
        <f t="shared" si="116"/>
        <v>151.40298798798798</v>
      </c>
      <c r="N365" s="24">
        <f t="shared" si="116"/>
        <v>162.41528528528528</v>
      </c>
      <c r="O365" s="24">
        <f t="shared" si="116"/>
        <v>174.32917417417417</v>
      </c>
    </row>
    <row r="366" spans="1:15">
      <c r="F366" s="175">
        <f>F365+1.5</f>
        <v>7.93993993993994</v>
      </c>
      <c r="H366" s="24">
        <f t="shared" si="116"/>
        <v>105.76</v>
      </c>
      <c r="I366" s="24">
        <f t="shared" si="116"/>
        <v>131.64420420420419</v>
      </c>
      <c r="J366" s="24">
        <f t="shared" si="116"/>
        <v>150.06486486486486</v>
      </c>
      <c r="K366" s="24">
        <f t="shared" si="116"/>
        <v>161.65717717717718</v>
      </c>
      <c r="L366" s="24">
        <f t="shared" si="116"/>
        <v>174.12288288288289</v>
      </c>
      <c r="M366" s="24">
        <f t="shared" si="116"/>
        <v>186.66798798798797</v>
      </c>
      <c r="N366" s="24">
        <f t="shared" si="116"/>
        <v>200.24528528528526</v>
      </c>
      <c r="O366" s="24">
        <f t="shared" si="116"/>
        <v>214.93417417417419</v>
      </c>
    </row>
    <row r="367" spans="1:15">
      <c r="F367" s="176">
        <f>F366+1.5</f>
        <v>9.43993993993994</v>
      </c>
      <c r="H367" s="24">
        <f t="shared" si="116"/>
        <v>125.74000000000001</v>
      </c>
      <c r="I367" s="24">
        <f t="shared" si="116"/>
        <v>156.51420420420419</v>
      </c>
      <c r="J367" s="24">
        <f t="shared" si="116"/>
        <v>178.41486486486485</v>
      </c>
      <c r="K367" s="24">
        <f t="shared" si="116"/>
        <v>192.19717717717717</v>
      </c>
      <c r="L367" s="24">
        <f t="shared" si="116"/>
        <v>207.01788288288287</v>
      </c>
      <c r="M367" s="24">
        <f t="shared" si="116"/>
        <v>221.93298798798796</v>
      </c>
      <c r="N367" s="24">
        <f t="shared" si="116"/>
        <v>238.07528528528528</v>
      </c>
      <c r="O367" s="24">
        <f t="shared" si="116"/>
        <v>255.53917417417418</v>
      </c>
    </row>
    <row r="370" spans="2:15">
      <c r="B370" t="s">
        <v>254</v>
      </c>
      <c r="H370" s="24">
        <f t="shared" ref="H370:O370" ca="1" si="117">H354</f>
        <v>55.124349999999993</v>
      </c>
      <c r="I370" s="24">
        <f t="shared" ca="1" si="117"/>
        <v>49.528699999999994</v>
      </c>
      <c r="J370" s="24">
        <f t="shared" ca="1" si="117"/>
        <v>44.338699999999996</v>
      </c>
      <c r="K370" s="24">
        <f t="shared" ca="1" si="117"/>
        <v>37.328699999999998</v>
      </c>
      <c r="L370" s="24">
        <f t="shared" ca="1" si="117"/>
        <v>28.778700000000004</v>
      </c>
      <c r="M370" s="24">
        <f t="shared" ca="1" si="117"/>
        <v>18.668700000000001</v>
      </c>
      <c r="N370" s="24">
        <f t="shared" ca="1" si="117"/>
        <v>6.8286999999999942</v>
      </c>
      <c r="O370" s="24">
        <f t="shared" ca="1" si="117"/>
        <v>-6.7513000000000041</v>
      </c>
    </row>
    <row r="372" spans="2:15">
      <c r="B372" t="s">
        <v>72</v>
      </c>
      <c r="F372" s="174">
        <f>F364</f>
        <v>4.93993993993994</v>
      </c>
      <c r="H372" s="24">
        <f t="shared" ref="H372:O375" ca="1" si="118">H364-H$370</f>
        <v>10.675650000000005</v>
      </c>
      <c r="I372" s="24">
        <f t="shared" ca="1" si="118"/>
        <v>32.375504204204198</v>
      </c>
      <c r="J372" s="24">
        <f t="shared" ca="1" si="118"/>
        <v>49.02616486486486</v>
      </c>
      <c r="K372" s="24">
        <f t="shared" ca="1" si="118"/>
        <v>63.248477177177179</v>
      </c>
      <c r="L372" s="24">
        <f t="shared" ca="1" si="118"/>
        <v>79.554182882882884</v>
      </c>
      <c r="M372" s="24">
        <f t="shared" ca="1" si="118"/>
        <v>97.469287987987983</v>
      </c>
      <c r="N372" s="24">
        <f t="shared" ca="1" si="118"/>
        <v>117.75658528528528</v>
      </c>
      <c r="O372" s="24">
        <f t="shared" ca="1" si="118"/>
        <v>140.4754741741742</v>
      </c>
    </row>
    <row r="373" spans="2:15">
      <c r="F373" s="175">
        <f>F372+1</f>
        <v>5.93993993993994</v>
      </c>
      <c r="H373" s="24">
        <f t="shared" ca="1" si="118"/>
        <v>30.655650000000009</v>
      </c>
      <c r="I373" s="24">
        <f t="shared" ca="1" si="118"/>
        <v>57.245504204204202</v>
      </c>
      <c r="J373" s="24">
        <f t="shared" ca="1" si="118"/>
        <v>77.376164864864847</v>
      </c>
      <c r="K373" s="24">
        <f t="shared" ca="1" si="118"/>
        <v>93.788477177177185</v>
      </c>
      <c r="L373" s="24">
        <f t="shared" ca="1" si="118"/>
        <v>112.44918288288288</v>
      </c>
      <c r="M373" s="24">
        <f t="shared" ca="1" si="118"/>
        <v>132.73428798798798</v>
      </c>
      <c r="N373" s="24">
        <f t="shared" ca="1" si="118"/>
        <v>155.58658528528528</v>
      </c>
      <c r="O373" s="24">
        <f t="shared" ca="1" si="118"/>
        <v>181.08047417417419</v>
      </c>
    </row>
    <row r="374" spans="2:15">
      <c r="F374" s="175">
        <f>F373+1</f>
        <v>6.93993993993994</v>
      </c>
      <c r="H374" s="24">
        <f t="shared" ca="1" si="118"/>
        <v>50.635650000000012</v>
      </c>
      <c r="I374" s="24">
        <f t="shared" ca="1" si="118"/>
        <v>82.1155042042042</v>
      </c>
      <c r="J374" s="24">
        <f t="shared" ca="1" si="118"/>
        <v>105.72616486486487</v>
      </c>
      <c r="K374" s="24">
        <f t="shared" ca="1" si="118"/>
        <v>124.32847717717718</v>
      </c>
      <c r="L374" s="24">
        <f t="shared" ca="1" si="118"/>
        <v>145.34418288288288</v>
      </c>
      <c r="M374" s="24">
        <f t="shared" ca="1" si="118"/>
        <v>167.99928798798797</v>
      </c>
      <c r="N374" s="24">
        <f t="shared" ca="1" si="118"/>
        <v>193.41658528528527</v>
      </c>
      <c r="O374" s="24">
        <f t="shared" ca="1" si="118"/>
        <v>221.6854741741742</v>
      </c>
    </row>
    <row r="375" spans="2:15">
      <c r="F375" s="176">
        <f>F374+1</f>
        <v>7.93993993993994</v>
      </c>
      <c r="H375" s="24">
        <f t="shared" ca="1" si="118"/>
        <v>70.615650000000016</v>
      </c>
      <c r="I375" s="24">
        <f t="shared" ca="1" si="118"/>
        <v>106.9855042042042</v>
      </c>
      <c r="J375" s="24">
        <f t="shared" ca="1" si="118"/>
        <v>134.07616486486486</v>
      </c>
      <c r="K375" s="24">
        <f t="shared" ca="1" si="118"/>
        <v>154.86847717717717</v>
      </c>
      <c r="L375" s="24">
        <f t="shared" ca="1" si="118"/>
        <v>178.23918288288286</v>
      </c>
      <c r="M375" s="24">
        <f t="shared" ca="1" si="118"/>
        <v>203.26428798798796</v>
      </c>
      <c r="N375" s="24">
        <f t="shared" ca="1" si="118"/>
        <v>231.24658528528528</v>
      </c>
      <c r="O375" s="24">
        <f t="shared" ca="1" si="118"/>
        <v>262.29047417417416</v>
      </c>
    </row>
    <row r="376" spans="2:15">
      <c r="F376" s="179"/>
      <c r="H376" s="24"/>
      <c r="I376" s="24"/>
      <c r="J376" s="24"/>
      <c r="K376" s="24"/>
      <c r="L376" s="24"/>
      <c r="M376" s="24"/>
      <c r="N376" s="24"/>
      <c r="O376" s="24"/>
    </row>
    <row r="377" spans="2:15" ht="16" thickBot="1">
      <c r="D377" s="16" t="s">
        <v>1366</v>
      </c>
    </row>
    <row r="378" spans="2:15" ht="16" thickBot="1">
      <c r="B378" t="s">
        <v>255</v>
      </c>
      <c r="D378" s="180">
        <f>E85</f>
        <v>11</v>
      </c>
      <c r="F378" s="174">
        <f>F372</f>
        <v>4.93993993993994</v>
      </c>
      <c r="H378" s="27">
        <f t="shared" ref="H378:O381" ca="1" si="119">H372/$D$378-1</f>
        <v>-2.9486363636363255E-2</v>
      </c>
      <c r="I378" s="27">
        <f t="shared" ca="1" si="119"/>
        <v>1.9432276549276541</v>
      </c>
      <c r="J378" s="27">
        <f t="shared" ca="1" si="119"/>
        <v>3.4569240786240778</v>
      </c>
      <c r="K378" s="27">
        <f t="shared" ca="1" si="119"/>
        <v>4.7498615615615618</v>
      </c>
      <c r="L378" s="27">
        <f t="shared" ca="1" si="119"/>
        <v>6.2321984438984437</v>
      </c>
      <c r="M378" s="27">
        <f t="shared" ca="1" si="119"/>
        <v>7.8608443625443627</v>
      </c>
      <c r="N378" s="27">
        <f t="shared" ca="1" si="119"/>
        <v>9.7051441168441173</v>
      </c>
      <c r="O378" s="27">
        <f t="shared" ca="1" si="119"/>
        <v>11.770497652197655</v>
      </c>
    </row>
    <row r="379" spans="2:15">
      <c r="F379" s="175">
        <f>F378+1</f>
        <v>5.93993993993994</v>
      </c>
      <c r="H379" s="27">
        <f t="shared" ca="1" si="119"/>
        <v>1.7868772727272737</v>
      </c>
      <c r="I379" s="27">
        <f t="shared" ca="1" si="119"/>
        <v>4.2041367458367453</v>
      </c>
      <c r="J379" s="27">
        <f t="shared" ca="1" si="119"/>
        <v>6.0341968058968041</v>
      </c>
      <c r="K379" s="27">
        <f t="shared" ca="1" si="119"/>
        <v>7.5262251979251982</v>
      </c>
      <c r="L379" s="27">
        <f t="shared" ca="1" si="119"/>
        <v>9.2226529893529889</v>
      </c>
      <c r="M379" s="27">
        <f t="shared" ca="1" si="119"/>
        <v>11.066753453453453</v>
      </c>
      <c r="N379" s="27">
        <f t="shared" ca="1" si="119"/>
        <v>13.144235025935025</v>
      </c>
      <c r="O379" s="27">
        <f t="shared" ca="1" si="119"/>
        <v>15.461861288561291</v>
      </c>
    </row>
    <row r="380" spans="2:15">
      <c r="F380" s="175">
        <f>F379+1</f>
        <v>6.93993993993994</v>
      </c>
      <c r="H380" s="27">
        <f t="shared" ca="1" si="119"/>
        <v>3.6032409090909105</v>
      </c>
      <c r="I380" s="27">
        <f t="shared" ca="1" si="119"/>
        <v>6.4650458367458361</v>
      </c>
      <c r="J380" s="27">
        <f t="shared" ca="1" si="119"/>
        <v>8.611469533169533</v>
      </c>
      <c r="K380" s="27">
        <f t="shared" ca="1" si="119"/>
        <v>10.302588834288834</v>
      </c>
      <c r="L380" s="27">
        <f t="shared" ca="1" si="119"/>
        <v>12.213107534807534</v>
      </c>
      <c r="M380" s="27">
        <f t="shared" ca="1" si="119"/>
        <v>14.272662544362543</v>
      </c>
      <c r="N380" s="27">
        <f t="shared" ca="1" si="119"/>
        <v>16.583325935025933</v>
      </c>
      <c r="O380" s="27">
        <f t="shared" ca="1" si="119"/>
        <v>19.153224924924928</v>
      </c>
    </row>
    <row r="381" spans="2:15">
      <c r="F381" s="176">
        <f>F380+1</f>
        <v>7.93993993993994</v>
      </c>
      <c r="H381" s="27">
        <f t="shared" ca="1" si="119"/>
        <v>5.419604545454547</v>
      </c>
      <c r="I381" s="27">
        <f t="shared" ca="1" si="119"/>
        <v>8.7259549276549269</v>
      </c>
      <c r="J381" s="27">
        <f t="shared" ca="1" si="119"/>
        <v>11.188742260442261</v>
      </c>
      <c r="K381" s="27">
        <f t="shared" ca="1" si="119"/>
        <v>13.078952470652469</v>
      </c>
      <c r="L381" s="27">
        <f t="shared" ca="1" si="119"/>
        <v>15.203562080262078</v>
      </c>
      <c r="M381" s="27">
        <f t="shared" ca="1" si="119"/>
        <v>17.478571635271631</v>
      </c>
      <c r="N381" s="27">
        <f t="shared" ca="1" si="119"/>
        <v>20.022416844116844</v>
      </c>
      <c r="O381" s="27">
        <f t="shared" ca="1" si="119"/>
        <v>22.84458856128856</v>
      </c>
    </row>
    <row r="383" spans="2:15" ht="16" thickBot="1">
      <c r="D383" s="16" t="s">
        <v>1366</v>
      </c>
    </row>
    <row r="384" spans="2:15" ht="16" thickBot="1">
      <c r="B384" t="s">
        <v>256</v>
      </c>
      <c r="D384" s="180">
        <f>D378</f>
        <v>11</v>
      </c>
      <c r="F384" s="174">
        <f>F372</f>
        <v>4.93993993993994</v>
      </c>
      <c r="H384" s="64">
        <f t="shared" ref="H384:O387" ca="1" si="120">H372/$D$384</f>
        <v>0.97051363636363674</v>
      </c>
      <c r="I384" s="64">
        <f t="shared" ca="1" si="120"/>
        <v>2.9432276549276541</v>
      </c>
      <c r="J384" s="64">
        <f t="shared" ca="1" si="120"/>
        <v>4.4569240786240778</v>
      </c>
      <c r="K384" s="64">
        <f t="shared" ca="1" si="120"/>
        <v>5.7498615615615618</v>
      </c>
      <c r="L384" s="64">
        <f t="shared" ca="1" si="120"/>
        <v>7.2321984438984437</v>
      </c>
      <c r="M384" s="64">
        <f t="shared" ca="1" si="120"/>
        <v>8.8608443625443627</v>
      </c>
      <c r="N384" s="64">
        <f t="shared" ca="1" si="120"/>
        <v>10.705144116844117</v>
      </c>
      <c r="O384" s="64">
        <f t="shared" ca="1" si="120"/>
        <v>12.770497652197655</v>
      </c>
    </row>
    <row r="385" spans="2:15">
      <c r="F385" s="175">
        <f>F373</f>
        <v>5.93993993993994</v>
      </c>
      <c r="H385" s="64">
        <f t="shared" ca="1" si="120"/>
        <v>2.7868772727272737</v>
      </c>
      <c r="I385" s="64">
        <f t="shared" ca="1" si="120"/>
        <v>5.2041367458367453</v>
      </c>
      <c r="J385" s="64">
        <f t="shared" ca="1" si="120"/>
        <v>7.0341968058968041</v>
      </c>
      <c r="K385" s="64">
        <f t="shared" ca="1" si="120"/>
        <v>8.5262251979251982</v>
      </c>
      <c r="L385" s="64">
        <f t="shared" ca="1" si="120"/>
        <v>10.222652989352989</v>
      </c>
      <c r="M385" s="64">
        <f t="shared" ca="1" si="120"/>
        <v>12.066753453453453</v>
      </c>
      <c r="N385" s="64">
        <f t="shared" ca="1" si="120"/>
        <v>14.144235025935025</v>
      </c>
      <c r="O385" s="64">
        <f t="shared" ca="1" si="120"/>
        <v>16.461861288561291</v>
      </c>
    </row>
    <row r="386" spans="2:15">
      <c r="F386" s="175">
        <f>F374</f>
        <v>6.93993993993994</v>
      </c>
      <c r="H386" s="64">
        <f t="shared" ca="1" si="120"/>
        <v>4.6032409090909105</v>
      </c>
      <c r="I386" s="64">
        <f t="shared" ca="1" si="120"/>
        <v>7.4650458367458361</v>
      </c>
      <c r="J386" s="64">
        <f t="shared" ca="1" si="120"/>
        <v>9.611469533169533</v>
      </c>
      <c r="K386" s="64">
        <f t="shared" ca="1" si="120"/>
        <v>11.302588834288834</v>
      </c>
      <c r="L386" s="64">
        <f t="shared" ca="1" si="120"/>
        <v>13.213107534807534</v>
      </c>
      <c r="M386" s="64">
        <f t="shared" ca="1" si="120"/>
        <v>15.272662544362543</v>
      </c>
      <c r="N386" s="64">
        <f t="shared" ca="1" si="120"/>
        <v>17.583325935025933</v>
      </c>
      <c r="O386" s="64">
        <f t="shared" ca="1" si="120"/>
        <v>20.153224924924928</v>
      </c>
    </row>
    <row r="387" spans="2:15">
      <c r="F387" s="176">
        <f>F375</f>
        <v>7.93993993993994</v>
      </c>
      <c r="H387" s="64">
        <f t="shared" ca="1" si="120"/>
        <v>6.419604545454547</v>
      </c>
      <c r="I387" s="64">
        <f t="shared" ca="1" si="120"/>
        <v>9.7259549276549269</v>
      </c>
      <c r="J387" s="64">
        <f t="shared" ca="1" si="120"/>
        <v>12.188742260442261</v>
      </c>
      <c r="K387" s="64">
        <f t="shared" ca="1" si="120"/>
        <v>14.078952470652469</v>
      </c>
      <c r="L387" s="64">
        <f t="shared" ca="1" si="120"/>
        <v>16.203562080262078</v>
      </c>
      <c r="M387" s="64">
        <f t="shared" ca="1" si="120"/>
        <v>18.478571635271631</v>
      </c>
      <c r="N387" s="64">
        <f t="shared" ca="1" si="120"/>
        <v>21.022416844116844</v>
      </c>
      <c r="O387" s="64">
        <f t="shared" ca="1" si="120"/>
        <v>23.84458856128856</v>
      </c>
    </row>
    <row r="388" spans="2:15">
      <c r="H388" s="294"/>
      <c r="I388" s="294"/>
      <c r="J388" s="294"/>
      <c r="K388" s="294"/>
      <c r="L388" s="294"/>
      <c r="M388" s="294"/>
      <c r="N388" s="294"/>
      <c r="O388" s="294"/>
    </row>
    <row r="389" spans="2:15">
      <c r="H389" s="294"/>
      <c r="I389" s="294"/>
      <c r="J389" s="294"/>
      <c r="K389" s="294"/>
      <c r="L389" s="294"/>
      <c r="M389" s="294"/>
      <c r="N389" s="294"/>
      <c r="O389" s="294"/>
    </row>
    <row r="390" spans="2:15">
      <c r="B390" t="s">
        <v>1369</v>
      </c>
      <c r="F390" s="174">
        <f>F372</f>
        <v>4.93993993993994</v>
      </c>
      <c r="H390" s="295">
        <f t="shared" ref="H390:O393" ca="1" si="121">(H384/1)^(1/H$360)-1</f>
        <v>-2.9486363636363255E-2</v>
      </c>
      <c r="I390" s="295">
        <f t="shared" ca="1" si="121"/>
        <v>0.71558376505714638</v>
      </c>
      <c r="J390" s="295">
        <f t="shared" ca="1" si="121"/>
        <v>0.64567881601325583</v>
      </c>
      <c r="K390" s="295">
        <f t="shared" ca="1" si="121"/>
        <v>0.5485111866153034</v>
      </c>
      <c r="L390" s="295">
        <f t="shared" ca="1" si="121"/>
        <v>0.48543641685339223</v>
      </c>
      <c r="M390" s="295">
        <f t="shared" ca="1" si="121"/>
        <v>0.43850878363543533</v>
      </c>
      <c r="N390" s="295">
        <f t="shared" ca="1" si="121"/>
        <v>0.40308714437550042</v>
      </c>
      <c r="O390" s="295">
        <f t="shared" ca="1" si="121"/>
        <v>0.37491540413790347</v>
      </c>
    </row>
    <row r="391" spans="2:15">
      <c r="F391" s="175">
        <f>F373</f>
        <v>5.93993993993994</v>
      </c>
      <c r="H391" s="295">
        <f t="shared" ca="1" si="121"/>
        <v>1.7868772727272737</v>
      </c>
      <c r="I391" s="295">
        <f t="shared" ca="1" si="121"/>
        <v>1.2812577114032395</v>
      </c>
      <c r="J391" s="295">
        <f t="shared" ca="1" si="121"/>
        <v>0.91604117799258744</v>
      </c>
      <c r="K391" s="295">
        <f t="shared" ca="1" si="121"/>
        <v>0.70879199084747135</v>
      </c>
      <c r="L391" s="295">
        <f t="shared" ca="1" si="121"/>
        <v>0.59188878739408679</v>
      </c>
      <c r="M391" s="295">
        <f t="shared" ca="1" si="121"/>
        <v>0.51448533807076058</v>
      </c>
      <c r="N391" s="295">
        <f t="shared" ca="1" si="121"/>
        <v>0.46005257604056604</v>
      </c>
      <c r="O391" s="295">
        <f t="shared" ca="1" si="121"/>
        <v>0.4192531514136717</v>
      </c>
    </row>
    <row r="392" spans="2:15">
      <c r="F392" s="175">
        <f>F374</f>
        <v>6.93993993993994</v>
      </c>
      <c r="H392" s="295">
        <f t="shared" ca="1" si="121"/>
        <v>3.6032409090909105</v>
      </c>
      <c r="I392" s="295">
        <f t="shared" ca="1" si="121"/>
        <v>1.7322236066518855</v>
      </c>
      <c r="J392" s="295">
        <f t="shared" ca="1" si="121"/>
        <v>1.1261632041294498</v>
      </c>
      <c r="K392" s="295">
        <f t="shared" ca="1" si="121"/>
        <v>0.83355728206648694</v>
      </c>
      <c r="L392" s="295">
        <f t="shared" ca="1" si="121"/>
        <v>0.67571822830922734</v>
      </c>
      <c r="M392" s="295">
        <f t="shared" ca="1" si="121"/>
        <v>0.57513987533622091</v>
      </c>
      <c r="N392" s="295">
        <f t="shared" ca="1" si="121"/>
        <v>0.5061616147960819</v>
      </c>
      <c r="O392" s="295">
        <f t="shared" ca="1" si="121"/>
        <v>0.45560342565705803</v>
      </c>
    </row>
    <row r="393" spans="2:15">
      <c r="F393" s="176">
        <f>F375</f>
        <v>7.93993993993994</v>
      </c>
      <c r="H393" s="295">
        <f t="shared" ca="1" si="121"/>
        <v>5.419604545454547</v>
      </c>
      <c r="I393" s="295">
        <f t="shared" ca="1" si="121"/>
        <v>2.1186463293639002</v>
      </c>
      <c r="J393" s="295">
        <f t="shared" ca="1" si="121"/>
        <v>1.3013692074508487</v>
      </c>
      <c r="K393" s="295">
        <f t="shared" ca="1" si="121"/>
        <v>0.93705782606195953</v>
      </c>
      <c r="L393" s="295">
        <f t="shared" ca="1" si="121"/>
        <v>0.74550902836056565</v>
      </c>
      <c r="M393" s="295">
        <f t="shared" ca="1" si="121"/>
        <v>0.62596577414664289</v>
      </c>
      <c r="N393" s="295">
        <f t="shared" ca="1" si="121"/>
        <v>0.54509313644521606</v>
      </c>
      <c r="O393" s="295">
        <f t="shared" ca="1" si="121"/>
        <v>0.48653017425631906</v>
      </c>
    </row>
    <row r="398" spans="2:15">
      <c r="F398" s="296"/>
    </row>
    <row r="399" spans="2:15">
      <c r="F399" s="296"/>
    </row>
    <row r="400" spans="2:15">
      <c r="F400" s="296"/>
    </row>
    <row r="401" spans="6:6">
      <c r="F401" s="296"/>
    </row>
  </sheetData>
  <mergeCells count="1">
    <mergeCell ref="F398:F401"/>
  </mergeCells>
  <conditionalFormatting sqref="H390">
    <cfRule type="colorScale" priority="1">
      <colorScale>
        <cfvo type="min"/>
        <cfvo type="max"/>
        <color rgb="FF63BE7B"/>
        <color rgb="FFFCFCFF"/>
      </colorScale>
    </cfRule>
  </conditionalFormatting>
  <conditionalFormatting sqref="H390:O393"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pageSetup paperSize="9"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8" r:id="rId3" name="Drop Down 8">
              <controlPr defaultSize="0" autoLine="0" autoPict="0">
                <anchor moveWithCells="1">
                  <from>
                    <xdr:col>1</xdr:col>
                    <xdr:colOff>1219200</xdr:colOff>
                    <xdr:row>22</xdr:row>
                    <xdr:rowOff>25400</xdr:rowOff>
                  </from>
                  <to>
                    <xdr:col>3</xdr:col>
                    <xdr:colOff>787400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58CE0-C19F-564D-A38B-39A1C53C9350}">
  <dimension ref="A2:T150"/>
  <sheetViews>
    <sheetView topLeftCell="A121" zoomScaleNormal="100" workbookViewId="0">
      <selection activeCell="F121" sqref="F121"/>
    </sheetView>
  </sheetViews>
  <sheetFormatPr baseColWidth="10" defaultColWidth="10.6640625" defaultRowHeight="15"/>
  <cols>
    <col min="1" max="1" width="4.1640625" style="76" customWidth="1"/>
    <col min="2" max="2" width="40.83203125" style="76" bestFit="1" customWidth="1"/>
    <col min="3" max="3" width="16" style="76" customWidth="1"/>
    <col min="4" max="4" width="16.1640625" style="76" customWidth="1"/>
    <col min="5" max="5" width="21.33203125" style="76" bestFit="1" customWidth="1"/>
    <col min="6" max="6" width="20.33203125" style="76" bestFit="1" customWidth="1"/>
    <col min="7" max="12" width="14.1640625" style="76" bestFit="1" customWidth="1"/>
    <col min="13" max="13" width="14.6640625" style="76" bestFit="1" customWidth="1"/>
    <col min="14" max="16384" width="10.6640625" style="76"/>
  </cols>
  <sheetData>
    <row r="2" spans="1:12" s="4" customFormat="1" ht="19">
      <c r="A2" s="135" t="s">
        <v>13</v>
      </c>
      <c r="B2" s="4" t="s">
        <v>1324</v>
      </c>
    </row>
    <row r="4" spans="1:12">
      <c r="B4" s="254" t="s">
        <v>257</v>
      </c>
      <c r="C4" s="255" t="s">
        <v>258</v>
      </c>
      <c r="D4" s="255" t="s">
        <v>259</v>
      </c>
      <c r="E4" s="255" t="s">
        <v>260</v>
      </c>
    </row>
    <row r="5" spans="1:12">
      <c r="B5" s="76" t="s">
        <v>261</v>
      </c>
      <c r="C5" s="76">
        <v>1.3534999999999999</v>
      </c>
      <c r="D5" s="76">
        <f>C5+0.31</f>
        <v>1.6635</v>
      </c>
      <c r="E5" s="76">
        <f>C5+0.91</f>
        <v>2.2635000000000001</v>
      </c>
    </row>
    <row r="7" spans="1:12" s="144" customFormat="1">
      <c r="A7" s="144" t="s">
        <v>13</v>
      </c>
      <c r="B7" s="143" t="s">
        <v>262</v>
      </c>
    </row>
    <row r="9" spans="1:12">
      <c r="B9" s="122" t="s">
        <v>263</v>
      </c>
      <c r="C9" s="122"/>
      <c r="D9" s="40">
        <v>1990</v>
      </c>
      <c r="E9" s="39">
        <v>1991</v>
      </c>
      <c r="F9" s="39">
        <v>1992</v>
      </c>
      <c r="G9" s="39">
        <v>1993</v>
      </c>
      <c r="H9" s="39">
        <v>1994</v>
      </c>
      <c r="I9" s="39">
        <v>1995</v>
      </c>
      <c r="J9" s="39">
        <v>1996</v>
      </c>
      <c r="K9" s="39">
        <v>1997</v>
      </c>
      <c r="L9" s="79"/>
    </row>
    <row r="10" spans="1:12">
      <c r="B10" t="s">
        <v>221</v>
      </c>
      <c r="E10" s="76">
        <v>4</v>
      </c>
      <c r="F10" s="76">
        <v>4</v>
      </c>
      <c r="G10" s="76">
        <v>4</v>
      </c>
      <c r="H10" s="76">
        <v>4</v>
      </c>
      <c r="I10" s="76">
        <v>4</v>
      </c>
      <c r="J10" s="76">
        <v>4</v>
      </c>
      <c r="K10" s="76">
        <v>4</v>
      </c>
    </row>
    <row r="11" spans="1:12">
      <c r="B11" s="76" t="s">
        <v>222</v>
      </c>
      <c r="E11" s="76">
        <f>'Exhibit 8'!E22</f>
        <v>1.7</v>
      </c>
      <c r="F11" s="76">
        <f>'Exhibit 8'!F22</f>
        <v>1.7</v>
      </c>
      <c r="G11" s="76">
        <f>'Exhibit 8'!G22</f>
        <v>1.7</v>
      </c>
      <c r="H11" s="76">
        <f>'Exhibit 8'!H22</f>
        <v>1.7</v>
      </c>
      <c r="I11" s="76">
        <f>'Exhibit 8'!I22</f>
        <v>1.7</v>
      </c>
      <c r="J11" s="76">
        <f>'Exhibit 8'!J22</f>
        <v>1.7</v>
      </c>
      <c r="K11" s="76">
        <f>'Exhibit 8'!K22</f>
        <v>1.7</v>
      </c>
    </row>
    <row r="12" spans="1:12">
      <c r="B12" s="76" t="s">
        <v>223</v>
      </c>
      <c r="E12" s="77">
        <f t="shared" ref="E12:K13" si="0">E47</f>
        <v>6.7500000000000004E-2</v>
      </c>
      <c r="F12" s="77">
        <f t="shared" si="0"/>
        <v>4.2033333333333339E-2</v>
      </c>
      <c r="G12" s="77">
        <f t="shared" si="0"/>
        <v>3.6833333333333336E-2</v>
      </c>
      <c r="H12" s="77">
        <f t="shared" si="0"/>
        <v>6.0349999999999994E-2</v>
      </c>
      <c r="I12" s="77">
        <f t="shared" si="0"/>
        <v>6.0041666666666667E-2</v>
      </c>
      <c r="J12" s="77">
        <f t="shared" si="0"/>
        <v>5.8708333333333335E-2</v>
      </c>
      <c r="K12" s="77">
        <f t="shared" si="0"/>
        <v>5.9849999999999993E-2</v>
      </c>
    </row>
    <row r="13" spans="1:12">
      <c r="B13" s="79" t="s">
        <v>224</v>
      </c>
      <c r="C13" s="79"/>
      <c r="D13" s="79"/>
      <c r="E13" s="77">
        <f t="shared" si="0"/>
        <v>2.2499999999999999E-2</v>
      </c>
      <c r="F13" s="77">
        <f t="shared" si="0"/>
        <v>2.2499999999999999E-2</v>
      </c>
      <c r="G13" s="77">
        <f t="shared" si="0"/>
        <v>2.2499999999999999E-2</v>
      </c>
      <c r="H13" s="77">
        <f>H48</f>
        <v>2.2499999999999999E-2</v>
      </c>
      <c r="I13" s="77">
        <f t="shared" si="0"/>
        <v>2.2499999999999999E-2</v>
      </c>
      <c r="J13" s="77">
        <f t="shared" si="0"/>
        <v>2.2499999999999999E-2</v>
      </c>
      <c r="K13" s="77">
        <f t="shared" si="0"/>
        <v>2.2499999999999999E-2</v>
      </c>
    </row>
    <row r="14" spans="1:12">
      <c r="B14" s="76" t="s">
        <v>225</v>
      </c>
      <c r="E14" s="133">
        <f t="shared" ref="E14:K14" si="1">SUM(E12:E13)</f>
        <v>0.09</v>
      </c>
      <c r="F14" s="133">
        <f t="shared" si="1"/>
        <v>6.4533333333333331E-2</v>
      </c>
      <c r="G14" s="133">
        <f t="shared" si="1"/>
        <v>5.9333333333333335E-2</v>
      </c>
      <c r="H14" s="133">
        <f t="shared" si="1"/>
        <v>8.2849999999999993E-2</v>
      </c>
      <c r="I14" s="133">
        <f t="shared" si="1"/>
        <v>8.2541666666666666E-2</v>
      </c>
      <c r="J14" s="133">
        <f t="shared" si="1"/>
        <v>8.1208333333333327E-2</v>
      </c>
      <c r="K14" s="133">
        <f t="shared" si="1"/>
        <v>8.2349999999999993E-2</v>
      </c>
    </row>
    <row r="15" spans="1:12">
      <c r="B15" s="76" t="s">
        <v>226</v>
      </c>
      <c r="E15" s="126">
        <f>E11*E14</f>
        <v>0.153</v>
      </c>
      <c r="F15" s="126">
        <f t="shared" ref="F15:K15" si="2">F11*F14</f>
        <v>0.10970666666666666</v>
      </c>
      <c r="G15" s="126">
        <f t="shared" si="2"/>
        <v>0.10086666666666667</v>
      </c>
      <c r="H15" s="126">
        <f t="shared" si="2"/>
        <v>0.140845</v>
      </c>
      <c r="I15" s="126">
        <f t="shared" si="2"/>
        <v>0.14032083333333334</v>
      </c>
      <c r="J15" s="126">
        <f t="shared" si="2"/>
        <v>0.13805416666666664</v>
      </c>
      <c r="K15" s="126">
        <f t="shared" si="2"/>
        <v>0.13999499999999998</v>
      </c>
    </row>
    <row r="16" spans="1:12">
      <c r="B16" s="76" t="s">
        <v>227</v>
      </c>
      <c r="E16" s="76">
        <f t="shared" ref="E16:K16" si="3">E10-E11</f>
        <v>2.2999999999999998</v>
      </c>
      <c r="F16" s="76">
        <f t="shared" si="3"/>
        <v>2.2999999999999998</v>
      </c>
      <c r="G16" s="76">
        <f t="shared" si="3"/>
        <v>2.2999999999999998</v>
      </c>
      <c r="H16" s="76">
        <f t="shared" si="3"/>
        <v>2.2999999999999998</v>
      </c>
      <c r="I16" s="76">
        <f t="shared" si="3"/>
        <v>2.2999999999999998</v>
      </c>
      <c r="J16" s="76">
        <f t="shared" si="3"/>
        <v>2.2999999999999998</v>
      </c>
      <c r="K16" s="76">
        <f t="shared" si="3"/>
        <v>2.2999999999999998</v>
      </c>
    </row>
    <row r="17" spans="1:11">
      <c r="B17" s="79" t="s">
        <v>228</v>
      </c>
      <c r="C17" s="79"/>
      <c r="D17" s="79"/>
      <c r="E17" s="134">
        <v>5.0000000000000001E-3</v>
      </c>
      <c r="F17" s="134">
        <f>E17</f>
        <v>5.0000000000000001E-3</v>
      </c>
      <c r="G17" s="134">
        <f t="shared" ref="G17:K17" si="4">F17</f>
        <v>5.0000000000000001E-3</v>
      </c>
      <c r="H17" s="134">
        <f t="shared" si="4"/>
        <v>5.0000000000000001E-3</v>
      </c>
      <c r="I17" s="134">
        <f t="shared" si="4"/>
        <v>5.0000000000000001E-3</v>
      </c>
      <c r="J17" s="134">
        <f t="shared" si="4"/>
        <v>5.0000000000000001E-3</v>
      </c>
      <c r="K17" s="134">
        <f t="shared" si="4"/>
        <v>5.0000000000000001E-3</v>
      </c>
    </row>
    <row r="18" spans="1:11" ht="16" thickBot="1">
      <c r="B18" s="137" t="s">
        <v>229</v>
      </c>
      <c r="C18" s="137"/>
      <c r="D18" s="137"/>
      <c r="E18" s="138">
        <f>E17*E16</f>
        <v>1.15E-2</v>
      </c>
      <c r="F18" s="138">
        <f t="shared" ref="F18:K18" si="5">F17*F16</f>
        <v>1.15E-2</v>
      </c>
      <c r="G18" s="138">
        <f t="shared" si="5"/>
        <v>1.15E-2</v>
      </c>
      <c r="H18" s="138">
        <f t="shared" si="5"/>
        <v>1.15E-2</v>
      </c>
      <c r="I18" s="138">
        <f t="shared" si="5"/>
        <v>1.15E-2</v>
      </c>
      <c r="J18" s="138">
        <f t="shared" si="5"/>
        <v>1.15E-2</v>
      </c>
      <c r="K18" s="138">
        <f t="shared" si="5"/>
        <v>1.15E-2</v>
      </c>
    </row>
    <row r="19" spans="1:11" ht="16" thickTop="1">
      <c r="B19" s="76" t="s">
        <v>230</v>
      </c>
      <c r="E19" s="126">
        <f t="shared" ref="E19:K19" si="6">E15+E18</f>
        <v>0.16450000000000001</v>
      </c>
      <c r="F19" s="126">
        <f t="shared" si="6"/>
        <v>0.12120666666666666</v>
      </c>
      <c r="G19" s="126">
        <f t="shared" si="6"/>
        <v>0.11236666666666667</v>
      </c>
      <c r="H19" s="126">
        <f>H15+H18</f>
        <v>0.15234500000000001</v>
      </c>
      <c r="I19" s="126">
        <f t="shared" si="6"/>
        <v>0.15182083333333335</v>
      </c>
      <c r="J19" s="126">
        <f t="shared" si="6"/>
        <v>0.14955416666666665</v>
      </c>
      <c r="K19" s="126">
        <f t="shared" si="6"/>
        <v>0.15149499999999999</v>
      </c>
    </row>
    <row r="20" spans="1:11">
      <c r="B20" s="76" t="s">
        <v>1387</v>
      </c>
      <c r="D20" s="92">
        <v>1.7</v>
      </c>
      <c r="E20" s="140">
        <f t="shared" ref="E20:J20" si="7">-E19</f>
        <v>-0.16450000000000001</v>
      </c>
      <c r="F20" s="140">
        <f t="shared" si="7"/>
        <v>-0.12120666666666666</v>
      </c>
      <c r="G20" s="140">
        <f t="shared" si="7"/>
        <v>-0.11236666666666667</v>
      </c>
      <c r="H20" s="140">
        <f t="shared" si="7"/>
        <v>-0.15234500000000001</v>
      </c>
      <c r="I20" s="140">
        <f t="shared" si="7"/>
        <v>-0.15182083333333335</v>
      </c>
      <c r="J20" s="140">
        <f t="shared" si="7"/>
        <v>-0.14955416666666665</v>
      </c>
      <c r="K20" s="140">
        <f>-K19-D20</f>
        <v>-1.8514949999999999</v>
      </c>
    </row>
    <row r="22" spans="1:11">
      <c r="B22" s="146" t="s">
        <v>1367</v>
      </c>
      <c r="C22" s="276">
        <f>IRR(D20:K20)</f>
        <v>8.3976722252059099E-2</v>
      </c>
      <c r="D22" s="92"/>
      <c r="E22" s="92"/>
      <c r="F22" s="92"/>
      <c r="G22" s="92"/>
      <c r="H22" s="92"/>
      <c r="I22" s="92"/>
      <c r="J22" s="92"/>
      <c r="K22" s="92"/>
    </row>
    <row r="24" spans="1:11" s="143" customFormat="1">
      <c r="A24" s="143" t="s">
        <v>13</v>
      </c>
      <c r="B24" s="143" t="s">
        <v>264</v>
      </c>
    </row>
    <row r="26" spans="1:11">
      <c r="B26" s="254" t="s">
        <v>265</v>
      </c>
      <c r="C26" s="255" t="s">
        <v>266</v>
      </c>
      <c r="D26" s="255" t="s">
        <v>267</v>
      </c>
      <c r="E26" s="255" t="s">
        <v>268</v>
      </c>
      <c r="F26" s="255" t="s">
        <v>269</v>
      </c>
    </row>
    <row r="27" spans="1:11">
      <c r="B27" s="88">
        <v>33572</v>
      </c>
      <c r="C27" s="91">
        <v>0</v>
      </c>
      <c r="D27" s="92">
        <f>C27*$C$5</f>
        <v>0</v>
      </c>
      <c r="E27" s="91">
        <f>F27/$C$5</f>
        <v>1477650.5356483192</v>
      </c>
      <c r="F27" s="92">
        <v>2000000</v>
      </c>
    </row>
    <row r="28" spans="1:11">
      <c r="B28" s="88">
        <v>33938</v>
      </c>
      <c r="C28" s="91">
        <v>0</v>
      </c>
      <c r="D28" s="92">
        <f t="shared" ref="D28:D33" si="8">C28*$C$5</f>
        <v>0</v>
      </c>
      <c r="E28" s="91">
        <f t="shared" ref="E28:E33" si="9">F28/$C$5</f>
        <v>2955301.0712966383</v>
      </c>
      <c r="F28" s="92">
        <v>4000000</v>
      </c>
    </row>
    <row r="29" spans="1:11">
      <c r="B29" s="88">
        <v>34303</v>
      </c>
      <c r="C29" s="91">
        <v>1550000</v>
      </c>
      <c r="D29" s="92">
        <f>C29*$C$5</f>
        <v>2097925</v>
      </c>
      <c r="E29" s="91">
        <f t="shared" si="9"/>
        <v>1366826.7454746952</v>
      </c>
      <c r="F29" s="92">
        <v>1850000</v>
      </c>
    </row>
    <row r="30" spans="1:11">
      <c r="B30" s="88">
        <v>34668</v>
      </c>
      <c r="C30" s="91">
        <v>1800000</v>
      </c>
      <c r="D30" s="92">
        <f t="shared" si="8"/>
        <v>2436300</v>
      </c>
      <c r="E30" s="91">
        <f t="shared" si="9"/>
        <v>1477650.5356483192</v>
      </c>
      <c r="F30" s="92">
        <v>2000000</v>
      </c>
    </row>
    <row r="31" spans="1:11">
      <c r="B31" s="88">
        <v>35033</v>
      </c>
      <c r="C31" s="91">
        <v>2150000</v>
      </c>
      <c r="D31" s="92">
        <f t="shared" si="8"/>
        <v>2910025</v>
      </c>
      <c r="E31" s="91">
        <f t="shared" si="9"/>
        <v>1847063.1695603991</v>
      </c>
      <c r="F31" s="92">
        <v>2500000</v>
      </c>
    </row>
    <row r="32" spans="1:11">
      <c r="B32" s="88">
        <v>35399</v>
      </c>
      <c r="C32" s="91">
        <v>2525000</v>
      </c>
      <c r="D32" s="92">
        <f t="shared" si="8"/>
        <v>3417587.5</v>
      </c>
      <c r="E32" s="91">
        <f t="shared" si="9"/>
        <v>2216475.8034724789</v>
      </c>
      <c r="F32" s="92">
        <v>3000000</v>
      </c>
    </row>
    <row r="33" spans="2:16">
      <c r="B33" s="88">
        <v>35764</v>
      </c>
      <c r="C33" s="91">
        <f>C34-SUM(C27:C32)</f>
        <v>2065000</v>
      </c>
      <c r="D33" s="92">
        <f t="shared" si="8"/>
        <v>2794977.5</v>
      </c>
      <c r="E33" s="91">
        <f t="shared" si="9"/>
        <v>1957886.9597340231</v>
      </c>
      <c r="F33" s="92">
        <f>F34-SUM(F27:F32)</f>
        <v>2650000</v>
      </c>
    </row>
    <row r="34" spans="2:16" ht="16" thickBot="1">
      <c r="B34" s="257" t="s">
        <v>248</v>
      </c>
      <c r="C34" s="258">
        <v>10090000</v>
      </c>
      <c r="D34" s="259">
        <f>SUM(D27:D33)</f>
        <v>13656815</v>
      </c>
      <c r="E34" s="259">
        <f>SUM(E27:E33)</f>
        <v>13298854.820834871</v>
      </c>
      <c r="F34" s="259">
        <v>18000000</v>
      </c>
    </row>
    <row r="35" spans="2:16" ht="16" thickTop="1">
      <c r="D35" s="92"/>
      <c r="E35" s="92"/>
    </row>
    <row r="36" spans="2:16">
      <c r="B36" s="256"/>
      <c r="C36" s="254" t="s">
        <v>270</v>
      </c>
      <c r="D36" s="254" t="s">
        <v>271</v>
      </c>
    </row>
    <row r="37" spans="2:16">
      <c r="B37" s="88" t="s">
        <v>272</v>
      </c>
      <c r="C37" s="92">
        <f>D34+F34</f>
        <v>31656815</v>
      </c>
      <c r="D37" s="91">
        <f>C34+E34</f>
        <v>23388854.820834871</v>
      </c>
    </row>
    <row r="38" spans="2:16">
      <c r="B38" s="79" t="s">
        <v>273</v>
      </c>
      <c r="C38" s="100">
        <v>4000000</v>
      </c>
      <c r="D38" s="100">
        <f>C38/C5</f>
        <v>2955301.0712966383</v>
      </c>
    </row>
    <row r="40" spans="2:16">
      <c r="B40" s="122" t="s">
        <v>274</v>
      </c>
      <c r="C40" s="122"/>
      <c r="D40" s="122"/>
      <c r="E40" s="122"/>
      <c r="F40" s="122"/>
      <c r="G40" s="122"/>
      <c r="H40" s="122"/>
      <c r="I40" s="122"/>
      <c r="J40" s="122"/>
      <c r="K40" s="122"/>
    </row>
    <row r="41" spans="2:16">
      <c r="D41" s="40">
        <v>1990</v>
      </c>
      <c r="E41" s="39">
        <v>1991</v>
      </c>
      <c r="F41" s="39">
        <v>1992</v>
      </c>
      <c r="G41" s="39">
        <v>1993</v>
      </c>
      <c r="H41" s="39">
        <v>1994</v>
      </c>
      <c r="I41" s="39">
        <v>1995</v>
      </c>
      <c r="J41" s="39">
        <v>1996</v>
      </c>
      <c r="K41" s="39">
        <v>1997</v>
      </c>
      <c r="L41" s="99"/>
      <c r="O41" s="99"/>
      <c r="P41" s="99"/>
    </row>
    <row r="42" spans="2:16">
      <c r="B42" s="76" t="s">
        <v>275</v>
      </c>
      <c r="E42" s="92">
        <f>D43-(D27+F27)</f>
        <v>29656815</v>
      </c>
      <c r="F42" s="92">
        <f>E42-(D28+F28)</f>
        <v>25656815</v>
      </c>
      <c r="G42" s="92">
        <f>F42-(D29+F29)</f>
        <v>21708890</v>
      </c>
      <c r="H42" s="92">
        <f>G42-(D30+F30)</f>
        <v>17272590</v>
      </c>
      <c r="I42" s="92">
        <f>H42-(D31+F31)</f>
        <v>11862565</v>
      </c>
      <c r="J42" s="92">
        <f>I42-(D32+F32)</f>
        <v>5444977.5</v>
      </c>
      <c r="K42" s="92">
        <f>J42-(D33+F33)</f>
        <v>0</v>
      </c>
    </row>
    <row r="43" spans="2:16">
      <c r="B43" s="76" t="s">
        <v>232</v>
      </c>
      <c r="D43" s="92">
        <f>C37</f>
        <v>31656815</v>
      </c>
      <c r="E43" s="92">
        <f>D46</f>
        <v>31656815</v>
      </c>
      <c r="F43" s="92">
        <f t="shared" ref="F43:K43" si="10">E46</f>
        <v>29656815</v>
      </c>
      <c r="G43" s="92">
        <f t="shared" si="10"/>
        <v>25656815</v>
      </c>
      <c r="H43" s="92">
        <f t="shared" si="10"/>
        <v>21708890</v>
      </c>
      <c r="I43" s="92">
        <f t="shared" si="10"/>
        <v>17272590</v>
      </c>
      <c r="J43" s="92">
        <f t="shared" si="10"/>
        <v>11862565</v>
      </c>
      <c r="K43" s="92">
        <f t="shared" si="10"/>
        <v>5444977.5</v>
      </c>
    </row>
    <row r="44" spans="2:16">
      <c r="B44" s="127" t="s">
        <v>276</v>
      </c>
      <c r="D44" s="92"/>
      <c r="E44" s="92">
        <f>D27</f>
        <v>0</v>
      </c>
      <c r="F44" s="92">
        <f>D28</f>
        <v>0</v>
      </c>
      <c r="G44" s="92">
        <f>D29</f>
        <v>2097925</v>
      </c>
      <c r="H44" s="92">
        <f>D30</f>
        <v>2436300</v>
      </c>
      <c r="I44" s="92">
        <f>D31</f>
        <v>2910025</v>
      </c>
      <c r="J44" s="92">
        <f>D32</f>
        <v>3417587.5</v>
      </c>
      <c r="K44" s="92">
        <f>D33</f>
        <v>2794977.5</v>
      </c>
      <c r="L44" s="92"/>
    </row>
    <row r="45" spans="2:16">
      <c r="B45" s="127" t="s">
        <v>277</v>
      </c>
      <c r="D45" s="92"/>
      <c r="E45" s="92">
        <f>F27</f>
        <v>2000000</v>
      </c>
      <c r="F45" s="92">
        <f>F28</f>
        <v>4000000</v>
      </c>
      <c r="G45" s="92">
        <f>F29</f>
        <v>1850000</v>
      </c>
      <c r="H45" s="92">
        <f>F30</f>
        <v>2000000</v>
      </c>
      <c r="I45" s="92">
        <f>F31</f>
        <v>2500000</v>
      </c>
      <c r="J45" s="92">
        <f>F32</f>
        <v>3000000</v>
      </c>
      <c r="K45" s="92">
        <f>F33</f>
        <v>2650000</v>
      </c>
      <c r="L45" s="92"/>
    </row>
    <row r="46" spans="2:16">
      <c r="B46" s="125" t="s">
        <v>233</v>
      </c>
      <c r="C46" s="125"/>
      <c r="D46" s="128">
        <f>D43-SUM(D44:D45)</f>
        <v>31656815</v>
      </c>
      <c r="E46" s="128">
        <f t="shared" ref="E46:K46" si="11">E43-SUM(E44:E45)</f>
        <v>29656815</v>
      </c>
      <c r="F46" s="128">
        <f t="shared" si="11"/>
        <v>25656815</v>
      </c>
      <c r="G46" s="128">
        <f t="shared" si="11"/>
        <v>21708890</v>
      </c>
      <c r="H46" s="128">
        <f t="shared" si="11"/>
        <v>17272590</v>
      </c>
      <c r="I46" s="128">
        <f t="shared" si="11"/>
        <v>11862565</v>
      </c>
      <c r="J46" s="128">
        <f t="shared" si="11"/>
        <v>5444977.5</v>
      </c>
      <c r="K46" s="128">
        <f t="shared" si="11"/>
        <v>0</v>
      </c>
      <c r="L46" s="92"/>
    </row>
    <row r="47" spans="2:16">
      <c r="B47" s="76" t="s">
        <v>223</v>
      </c>
      <c r="D47" s="92"/>
      <c r="E47" s="132">
        <f>'DCM rates'!C39</f>
        <v>6.7500000000000004E-2</v>
      </c>
      <c r="F47" s="132">
        <f>'LIBOR rates'!I5</f>
        <v>4.2033333333333339E-2</v>
      </c>
      <c r="G47" s="132">
        <f>'LIBOR rates'!J5</f>
        <v>3.6833333333333336E-2</v>
      </c>
      <c r="H47" s="132">
        <f>'LIBOR rates'!K5</f>
        <v>6.0349999999999994E-2</v>
      </c>
      <c r="I47" s="132">
        <f>'LIBOR rates'!L5</f>
        <v>6.0041666666666667E-2</v>
      </c>
      <c r="J47" s="132">
        <f>'LIBOR rates'!M5</f>
        <v>5.8708333333333335E-2</v>
      </c>
      <c r="K47" s="132">
        <f>'LIBOR rates'!N5</f>
        <v>5.9849999999999993E-2</v>
      </c>
      <c r="L47" s="129"/>
    </row>
    <row r="48" spans="2:16">
      <c r="B48" s="76" t="s">
        <v>224</v>
      </c>
      <c r="D48" s="92"/>
      <c r="E48" s="132">
        <v>2.2499999999999999E-2</v>
      </c>
      <c r="F48" s="132">
        <f>E48</f>
        <v>2.2499999999999999E-2</v>
      </c>
      <c r="G48" s="132">
        <f t="shared" ref="G48:K48" si="12">F48</f>
        <v>2.2499999999999999E-2</v>
      </c>
      <c r="H48" s="132">
        <f t="shared" si="12"/>
        <v>2.2499999999999999E-2</v>
      </c>
      <c r="I48" s="132">
        <f t="shared" si="12"/>
        <v>2.2499999999999999E-2</v>
      </c>
      <c r="J48" s="132">
        <f t="shared" si="12"/>
        <v>2.2499999999999999E-2</v>
      </c>
      <c r="K48" s="132">
        <f t="shared" si="12"/>
        <v>2.2499999999999999E-2</v>
      </c>
    </row>
    <row r="49" spans="1:13">
      <c r="B49" s="125" t="s">
        <v>225</v>
      </c>
      <c r="C49" s="125"/>
      <c r="D49" s="128"/>
      <c r="E49" s="133">
        <f>SUM(E47:E48)</f>
        <v>0.09</v>
      </c>
      <c r="F49" s="133">
        <f t="shared" ref="F49:K49" si="13">SUM(F47:F48)</f>
        <v>6.4533333333333331E-2</v>
      </c>
      <c r="G49" s="133">
        <f t="shared" si="13"/>
        <v>5.9333333333333335E-2</v>
      </c>
      <c r="H49" s="133">
        <f t="shared" si="13"/>
        <v>8.2849999999999993E-2</v>
      </c>
      <c r="I49" s="133">
        <f t="shared" si="13"/>
        <v>8.2541666666666666E-2</v>
      </c>
      <c r="J49" s="133">
        <f t="shared" si="13"/>
        <v>8.1208333333333327E-2</v>
      </c>
      <c r="K49" s="133">
        <f t="shared" si="13"/>
        <v>8.2349999999999993E-2</v>
      </c>
    </row>
    <row r="50" spans="1:13">
      <c r="B50" s="76" t="s">
        <v>226</v>
      </c>
      <c r="E50" s="92">
        <f>AVERAGE(E43,E46)*E49</f>
        <v>2759113.35</v>
      </c>
      <c r="F50" s="92">
        <f t="shared" ref="F50:K50" si="14">AVERAGE(F43,F46)*F49</f>
        <v>1784786.4613333333</v>
      </c>
      <c r="G50" s="92">
        <f t="shared" si="14"/>
        <v>1405182.5816666668</v>
      </c>
      <c r="H50" s="92">
        <f t="shared" si="14"/>
        <v>1614807.8089999999</v>
      </c>
      <c r="I50" s="92">
        <f t="shared" si="14"/>
        <v>1202432.1261458334</v>
      </c>
      <c r="J50" s="92">
        <f t="shared" si="14"/>
        <v>702758.34026041662</v>
      </c>
      <c r="K50" s="92">
        <f t="shared" si="14"/>
        <v>224196.94856249998</v>
      </c>
    </row>
    <row r="51" spans="1:13">
      <c r="B51" s="76" t="s">
        <v>278</v>
      </c>
      <c r="E51" s="92"/>
      <c r="F51" s="92"/>
      <c r="G51" s="92"/>
      <c r="H51" s="92"/>
      <c r="I51" s="92"/>
      <c r="J51" s="92"/>
      <c r="K51" s="92">
        <f>C37</f>
        <v>31656815</v>
      </c>
    </row>
    <row r="52" spans="1:13" ht="16" thickBot="1">
      <c r="B52" s="260" t="s">
        <v>279</v>
      </c>
      <c r="C52" s="260"/>
      <c r="D52" s="259">
        <f>D46</f>
        <v>31656815</v>
      </c>
      <c r="E52" s="277">
        <f t="shared" ref="E52:K52" si="15">-(E50+(D46-E46))</f>
        <v>-4759113.3499999996</v>
      </c>
      <c r="F52" s="277">
        <f t="shared" si="15"/>
        <v>-5784786.4613333335</v>
      </c>
      <c r="G52" s="277">
        <f t="shared" si="15"/>
        <v>-5353107.581666667</v>
      </c>
      <c r="H52" s="277">
        <f t="shared" si="15"/>
        <v>-6051107.8090000004</v>
      </c>
      <c r="I52" s="277">
        <f t="shared" si="15"/>
        <v>-6612457.1261458332</v>
      </c>
      <c r="J52" s="277">
        <f t="shared" si="15"/>
        <v>-7120345.8402604163</v>
      </c>
      <c r="K52" s="277">
        <f t="shared" si="15"/>
        <v>-5669174.4485625001</v>
      </c>
      <c r="L52" s="92"/>
      <c r="M52" s="92"/>
    </row>
    <row r="53" spans="1:13" ht="16" thickTop="1">
      <c r="D53" s="92"/>
      <c r="E53" s="140"/>
      <c r="F53" s="140"/>
      <c r="G53" s="140"/>
      <c r="H53" s="140"/>
      <c r="I53" s="140"/>
      <c r="J53" s="140"/>
      <c r="K53" s="140"/>
      <c r="L53" s="92"/>
      <c r="M53" s="92"/>
    </row>
    <row r="54" spans="1:13">
      <c r="B54" s="146" t="s">
        <v>1381</v>
      </c>
      <c r="C54" s="276">
        <f>IRR(D52:K52)</f>
        <v>6.8433801455433541E-2</v>
      </c>
      <c r="D54" s="92"/>
      <c r="E54" s="140"/>
      <c r="F54" s="140"/>
      <c r="G54" s="140"/>
      <c r="H54" s="140"/>
      <c r="I54" s="140"/>
      <c r="J54" s="140"/>
      <c r="K54" s="140"/>
      <c r="L54" s="92"/>
    </row>
    <row r="57" spans="1:13" s="143" customFormat="1">
      <c r="A57" s="143" t="s">
        <v>13</v>
      </c>
      <c r="B57" s="143" t="s">
        <v>280</v>
      </c>
    </row>
    <row r="58" spans="1:13"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</row>
    <row r="59" spans="1:13">
      <c r="B59" s="122" t="s">
        <v>281</v>
      </c>
      <c r="C59" s="122"/>
      <c r="D59" s="122"/>
      <c r="E59" s="122"/>
      <c r="F59" s="122"/>
      <c r="G59" s="122"/>
      <c r="H59" s="122"/>
      <c r="I59" s="122"/>
      <c r="J59" s="122"/>
      <c r="K59" s="122"/>
      <c r="L59"/>
    </row>
    <row r="60" spans="1:13">
      <c r="D60" s="40">
        <v>1990</v>
      </c>
      <c r="E60" s="39">
        <v>1991</v>
      </c>
      <c r="F60" s="39">
        <v>1992</v>
      </c>
      <c r="G60" s="39">
        <v>1993</v>
      </c>
      <c r="H60" s="39">
        <v>1994</v>
      </c>
      <c r="I60" s="39">
        <v>1995</v>
      </c>
      <c r="J60" s="39">
        <v>1996</v>
      </c>
      <c r="K60" s="39">
        <v>1997</v>
      </c>
      <c r="L60" s="141">
        <v>1998</v>
      </c>
    </row>
    <row r="61" spans="1:13">
      <c r="B61" s="76" t="s">
        <v>211</v>
      </c>
      <c r="D61" s="92">
        <v>15</v>
      </c>
      <c r="E61" s="92">
        <f t="shared" ref="E61:L61" si="16">D63</f>
        <v>15</v>
      </c>
      <c r="F61" s="92">
        <f t="shared" si="16"/>
        <v>15</v>
      </c>
      <c r="G61" s="92">
        <f t="shared" si="16"/>
        <v>15</v>
      </c>
      <c r="H61" s="92">
        <f t="shared" si="16"/>
        <v>15</v>
      </c>
      <c r="I61" s="92">
        <f t="shared" si="16"/>
        <v>15</v>
      </c>
      <c r="J61" s="92">
        <f t="shared" si="16"/>
        <v>15</v>
      </c>
      <c r="K61" s="92">
        <f t="shared" si="16"/>
        <v>15</v>
      </c>
      <c r="L61" s="92">
        <f t="shared" si="16"/>
        <v>15</v>
      </c>
    </row>
    <row r="62" spans="1:13">
      <c r="B62" s="127" t="s">
        <v>282</v>
      </c>
      <c r="D62" s="92">
        <v>0</v>
      </c>
      <c r="E62" s="92">
        <f t="shared" ref="E62:L62" si="17">D62</f>
        <v>0</v>
      </c>
      <c r="F62" s="92">
        <f t="shared" si="17"/>
        <v>0</v>
      </c>
      <c r="G62" s="92">
        <f t="shared" si="17"/>
        <v>0</v>
      </c>
      <c r="H62" s="92">
        <f t="shared" si="17"/>
        <v>0</v>
      </c>
      <c r="I62" s="92">
        <f t="shared" si="17"/>
        <v>0</v>
      </c>
      <c r="J62" s="92">
        <f t="shared" si="17"/>
        <v>0</v>
      </c>
      <c r="K62" s="92">
        <f t="shared" si="17"/>
        <v>0</v>
      </c>
      <c r="L62" s="92">
        <f t="shared" si="17"/>
        <v>0</v>
      </c>
    </row>
    <row r="63" spans="1:13">
      <c r="B63" s="125" t="s">
        <v>214</v>
      </c>
      <c r="C63" s="125"/>
      <c r="D63" s="128">
        <f t="shared" ref="D63:L63" si="18">D61-D62</f>
        <v>15</v>
      </c>
      <c r="E63" s="128">
        <f t="shared" si="18"/>
        <v>15</v>
      </c>
      <c r="F63" s="128">
        <f t="shared" si="18"/>
        <v>15</v>
      </c>
      <c r="G63" s="128">
        <f t="shared" si="18"/>
        <v>15</v>
      </c>
      <c r="H63" s="128">
        <f t="shared" si="18"/>
        <v>15</v>
      </c>
      <c r="I63" s="128">
        <f t="shared" si="18"/>
        <v>15</v>
      </c>
      <c r="J63" s="128">
        <f t="shared" si="18"/>
        <v>15</v>
      </c>
      <c r="K63" s="128">
        <f t="shared" si="18"/>
        <v>15</v>
      </c>
      <c r="L63" s="128">
        <f t="shared" si="18"/>
        <v>15</v>
      </c>
    </row>
    <row r="64" spans="1:13">
      <c r="B64" s="76" t="s">
        <v>223</v>
      </c>
      <c r="D64" s="92"/>
      <c r="E64" s="136">
        <f>'Debt valuation'!E47</f>
        <v>6.7500000000000004E-2</v>
      </c>
      <c r="F64" s="136">
        <f>'Debt valuation'!F47</f>
        <v>4.2033333333333339E-2</v>
      </c>
      <c r="G64" s="136">
        <f>'Debt valuation'!G47</f>
        <v>3.6833333333333336E-2</v>
      </c>
      <c r="H64" s="136">
        <f>'Debt valuation'!H47</f>
        <v>6.0349999999999994E-2</v>
      </c>
      <c r="I64" s="136">
        <f>'Debt valuation'!I47</f>
        <v>6.0041666666666667E-2</v>
      </c>
      <c r="J64" s="136">
        <f>'Debt valuation'!J47</f>
        <v>5.8708333333333335E-2</v>
      </c>
      <c r="K64" s="136">
        <f>'Debt valuation'!K47</f>
        <v>5.9849999999999993E-2</v>
      </c>
      <c r="L64" s="136">
        <f>'LIBOR rates'!O5</f>
        <v>5.4866666666666675E-2</v>
      </c>
    </row>
    <row r="65" spans="1:14">
      <c r="B65" s="76" t="s">
        <v>224</v>
      </c>
      <c r="D65" s="92"/>
      <c r="E65" s="136">
        <v>3.2500000000000001E-2</v>
      </c>
      <c r="F65" s="136">
        <f t="shared" ref="F65:L65" si="19">E65</f>
        <v>3.2500000000000001E-2</v>
      </c>
      <c r="G65" s="136">
        <f t="shared" si="19"/>
        <v>3.2500000000000001E-2</v>
      </c>
      <c r="H65" s="136">
        <f t="shared" si="19"/>
        <v>3.2500000000000001E-2</v>
      </c>
      <c r="I65" s="136">
        <f t="shared" si="19"/>
        <v>3.2500000000000001E-2</v>
      </c>
      <c r="J65" s="136">
        <f t="shared" si="19"/>
        <v>3.2500000000000001E-2</v>
      </c>
      <c r="K65" s="139">
        <f t="shared" si="19"/>
        <v>3.2500000000000001E-2</v>
      </c>
      <c r="L65" s="139">
        <f t="shared" si="19"/>
        <v>3.2500000000000001E-2</v>
      </c>
    </row>
    <row r="66" spans="1:14">
      <c r="B66" s="125" t="s">
        <v>237</v>
      </c>
      <c r="C66" s="125"/>
      <c r="D66" s="128"/>
      <c r="E66" s="133">
        <f t="shared" ref="E66:L66" si="20">SUM(E64:E65)</f>
        <v>0.1</v>
      </c>
      <c r="F66" s="133">
        <f t="shared" si="20"/>
        <v>7.453333333333334E-2</v>
      </c>
      <c r="G66" s="133">
        <f t="shared" si="20"/>
        <v>6.933333333333333E-2</v>
      </c>
      <c r="H66" s="133">
        <f t="shared" si="20"/>
        <v>9.2849999999999988E-2</v>
      </c>
      <c r="I66" s="133">
        <f t="shared" si="20"/>
        <v>9.2541666666666661E-2</v>
      </c>
      <c r="J66" s="133">
        <f t="shared" si="20"/>
        <v>9.1208333333333336E-2</v>
      </c>
      <c r="K66" s="133">
        <f t="shared" si="20"/>
        <v>9.2349999999999988E-2</v>
      </c>
      <c r="L66" s="133">
        <f t="shared" si="20"/>
        <v>8.7366666666666676E-2</v>
      </c>
      <c r="M66" s="77"/>
      <c r="N66" s="148"/>
    </row>
    <row r="67" spans="1:14">
      <c r="B67" s="76" t="s">
        <v>226</v>
      </c>
      <c r="E67" s="92">
        <f t="shared" ref="E67:L67" si="21">AVERAGE(E61,E63)*E66</f>
        <v>1.5</v>
      </c>
      <c r="F67" s="92">
        <f t="shared" si="21"/>
        <v>1.1180000000000001</v>
      </c>
      <c r="G67" s="92">
        <f t="shared" si="21"/>
        <v>1.04</v>
      </c>
      <c r="H67" s="92">
        <f t="shared" si="21"/>
        <v>1.3927499999999999</v>
      </c>
      <c r="I67" s="92">
        <f t="shared" si="21"/>
        <v>1.3881249999999998</v>
      </c>
      <c r="J67" s="92">
        <f t="shared" si="21"/>
        <v>1.368125</v>
      </c>
      <c r="K67" s="92">
        <f t="shared" si="21"/>
        <v>1.3852499999999999</v>
      </c>
      <c r="L67" s="92">
        <f t="shared" si="21"/>
        <v>1.3105000000000002</v>
      </c>
    </row>
    <row r="68" spans="1:14">
      <c r="B68" s="76" t="s">
        <v>278</v>
      </c>
      <c r="E68" s="92"/>
      <c r="F68" s="92"/>
      <c r="G68" s="92"/>
      <c r="H68" s="92"/>
      <c r="I68" s="92"/>
      <c r="J68" s="92"/>
      <c r="K68" s="92"/>
      <c r="L68">
        <v>15</v>
      </c>
      <c r="N68" s="92"/>
    </row>
    <row r="69" spans="1:14">
      <c r="B69" s="76" t="s">
        <v>1323</v>
      </c>
      <c r="D69" s="126">
        <f xml:space="preserve"> 'Option pricing'!C24</f>
        <v>9.1907973757399972</v>
      </c>
      <c r="E69" s="92"/>
      <c r="F69" s="92"/>
      <c r="G69" s="92"/>
      <c r="H69" s="92"/>
      <c r="I69" s="92"/>
      <c r="J69" s="92"/>
      <c r="K69" s="92"/>
      <c r="L69"/>
      <c r="N69" s="92"/>
    </row>
    <row r="70" spans="1:14" ht="16" thickBot="1">
      <c r="B70" s="260" t="s">
        <v>1378</v>
      </c>
      <c r="C70" s="260"/>
      <c r="D70" s="259">
        <f>D61-D69</f>
        <v>5.8092026242600028</v>
      </c>
      <c r="E70" s="259">
        <f t="shared" ref="E70:K70" si="22">-E67</f>
        <v>-1.5</v>
      </c>
      <c r="F70" s="259">
        <f t="shared" si="22"/>
        <v>-1.1180000000000001</v>
      </c>
      <c r="G70" s="259">
        <f t="shared" si="22"/>
        <v>-1.04</v>
      </c>
      <c r="H70" s="259">
        <f t="shared" si="22"/>
        <v>-1.3927499999999999</v>
      </c>
      <c r="I70" s="259">
        <f t="shared" si="22"/>
        <v>-1.3881249999999998</v>
      </c>
      <c r="J70" s="259">
        <f t="shared" si="22"/>
        <v>-1.368125</v>
      </c>
      <c r="K70" s="259">
        <f t="shared" si="22"/>
        <v>-1.3852499999999999</v>
      </c>
      <c r="L70" s="259">
        <f>-SUM(L67:L68)</f>
        <v>-16.310500000000001</v>
      </c>
    </row>
    <row r="71" spans="1:14" ht="16" thickTop="1">
      <c r="D71" s="92"/>
      <c r="E71" s="92"/>
      <c r="F71" s="92"/>
      <c r="G71" s="92"/>
      <c r="H71" s="92"/>
      <c r="I71" s="92"/>
      <c r="J71" s="92"/>
      <c r="K71" s="92"/>
      <c r="L71" s="92"/>
    </row>
    <row r="72" spans="1:14">
      <c r="B72" s="146" t="s">
        <v>1380</v>
      </c>
      <c r="C72" s="276">
        <f>IRR(D70:L70)</f>
        <v>0.2926708436225649</v>
      </c>
      <c r="D72" s="147"/>
      <c r="L72" s="92"/>
      <c r="M72" s="92"/>
    </row>
    <row r="74" spans="1:14" s="143" customFormat="1">
      <c r="A74" s="143" t="s">
        <v>13</v>
      </c>
      <c r="B74" s="143" t="s">
        <v>238</v>
      </c>
    </row>
    <row r="76" spans="1:14">
      <c r="B76" s="79" t="s">
        <v>283</v>
      </c>
      <c r="C76" s="79"/>
    </row>
    <row r="77" spans="1:14">
      <c r="B77" s="76" t="s">
        <v>284</v>
      </c>
      <c r="C77" s="81">
        <v>6.3700000000000007E-2</v>
      </c>
    </row>
    <row r="78" spans="1:14">
      <c r="B78" s="76" t="s">
        <v>285</v>
      </c>
      <c r="C78" s="81">
        <v>6.1799999999999994E-2</v>
      </c>
    </row>
    <row r="79" spans="1:14">
      <c r="B79" s="76" t="s">
        <v>286</v>
      </c>
      <c r="C79" s="81">
        <v>6.2699999999999992E-2</v>
      </c>
    </row>
    <row r="80" spans="1:14">
      <c r="B80" s="76" t="s">
        <v>287</v>
      </c>
      <c r="C80" s="81">
        <v>6.3700000000000007E-2</v>
      </c>
    </row>
    <row r="81" spans="2:14">
      <c r="B81" s="76" t="s">
        <v>288</v>
      </c>
      <c r="C81" s="81">
        <v>7.0000000000000007E-2</v>
      </c>
      <c r="D81" s="82"/>
    </row>
    <row r="82" spans="2:14">
      <c r="B82" s="76" t="s">
        <v>289</v>
      </c>
      <c r="C82" s="81">
        <v>7.22E-2</v>
      </c>
    </row>
    <row r="83" spans="2:14">
      <c r="B83" s="76" t="s">
        <v>290</v>
      </c>
      <c r="C83" s="81">
        <v>7.4099999999999999E-2</v>
      </c>
    </row>
    <row r="84" spans="2:14">
      <c r="B84" s="76" t="s">
        <v>291</v>
      </c>
      <c r="C84" s="81">
        <v>7.5800000000000006E-2</v>
      </c>
    </row>
    <row r="85" spans="2:14">
      <c r="B85" s="51" t="s">
        <v>292</v>
      </c>
      <c r="C85" s="54">
        <f>C84+(C86-C84)*((6-5)/(7-5))</f>
        <v>7.7000000000000013E-2</v>
      </c>
      <c r="D85" s="52" t="s">
        <v>293</v>
      </c>
    </row>
    <row r="86" spans="2:14">
      <c r="B86" s="76" t="s">
        <v>294</v>
      </c>
      <c r="C86" s="81">
        <v>7.8200000000000006E-2</v>
      </c>
    </row>
    <row r="87" spans="2:14">
      <c r="B87" s="76" t="s">
        <v>295</v>
      </c>
      <c r="C87" s="83">
        <v>7.8700000000000006E-2</v>
      </c>
    </row>
    <row r="88" spans="2:14">
      <c r="B88" s="51" t="s">
        <v>296</v>
      </c>
      <c r="C88" s="85">
        <f>C87+(C89-C87)*((9-8)/(10-8))</f>
        <v>7.8949999999999992E-2</v>
      </c>
      <c r="D88" s="52" t="s">
        <v>293</v>
      </c>
    </row>
    <row r="89" spans="2:14">
      <c r="B89" s="76" t="s">
        <v>297</v>
      </c>
      <c r="C89" s="84">
        <v>7.9199999999999993E-2</v>
      </c>
    </row>
    <row r="90" spans="2:14">
      <c r="B90" s="76" t="s">
        <v>298</v>
      </c>
      <c r="C90" s="81">
        <v>8.0799999999999997E-2</v>
      </c>
    </row>
    <row r="91" spans="2:14">
      <c r="C91" s="81"/>
    </row>
    <row r="92" spans="2:14">
      <c r="D92" s="76">
        <v>1</v>
      </c>
      <c r="E92" s="76">
        <v>2</v>
      </c>
      <c r="F92" s="76">
        <v>3</v>
      </c>
      <c r="G92" s="76">
        <v>4</v>
      </c>
      <c r="H92" s="76">
        <v>5</v>
      </c>
      <c r="I92" s="76">
        <v>6</v>
      </c>
      <c r="J92" s="76">
        <v>7</v>
      </c>
      <c r="K92" s="76">
        <v>8</v>
      </c>
      <c r="L92" s="76">
        <v>9</v>
      </c>
      <c r="M92" s="76">
        <v>10</v>
      </c>
    </row>
    <row r="93" spans="2:14">
      <c r="B93" s="122" t="s">
        <v>95</v>
      </c>
      <c r="C93" s="40">
        <v>1990</v>
      </c>
      <c r="D93" s="39">
        <v>1991</v>
      </c>
      <c r="E93" s="39">
        <v>1992</v>
      </c>
      <c r="F93" s="39">
        <v>1993</v>
      </c>
      <c r="G93" s="39">
        <v>1994</v>
      </c>
      <c r="H93" s="39">
        <v>1995</v>
      </c>
      <c r="I93" s="39">
        <v>1996</v>
      </c>
      <c r="J93" s="39">
        <v>1997</v>
      </c>
      <c r="K93" s="39">
        <v>1998</v>
      </c>
      <c r="L93" s="39">
        <v>1999</v>
      </c>
      <c r="M93" s="39">
        <v>2000</v>
      </c>
    </row>
    <row r="94" spans="2:14">
      <c r="B94" s="76" t="s">
        <v>239</v>
      </c>
      <c r="D94" s="78">
        <f>AVERAGE($C$88:$C$89)</f>
        <v>7.9074999999999993E-2</v>
      </c>
      <c r="E94" s="78">
        <f>AVERAGE($C$88:$C$89)</f>
        <v>7.9074999999999993E-2</v>
      </c>
      <c r="F94" s="78">
        <f>AVERAGE(C86:C87)</f>
        <v>7.8450000000000006E-2</v>
      </c>
      <c r="G94" s="78">
        <f>AVERAGE(C85:C86)</f>
        <v>7.7600000000000002E-2</v>
      </c>
      <c r="H94" s="78">
        <f>AVERAGE(C84:C85)</f>
        <v>7.640000000000001E-2</v>
      </c>
      <c r="I94" s="78">
        <f>AVERAGE(C83:C84)</f>
        <v>7.4950000000000003E-2</v>
      </c>
      <c r="J94" s="78">
        <f>AVERAGE(C82:C83)</f>
        <v>7.3149999999999993E-2</v>
      </c>
      <c r="K94" s="78">
        <f>AVERAGE(C81:C82)</f>
        <v>7.1099999999999997E-2</v>
      </c>
      <c r="L94" s="78">
        <f>AVERAGE(C80:C81)</f>
        <v>6.6850000000000007E-2</v>
      </c>
      <c r="M94" s="78">
        <f>AVERAGE(C79:C80)</f>
        <v>6.3200000000000006E-2</v>
      </c>
    </row>
    <row r="95" spans="2:14">
      <c r="B95" s="76" t="s">
        <v>240</v>
      </c>
      <c r="D95" s="77">
        <f t="shared" ref="D95:M95" si="23">$E$111</f>
        <v>5.1999999999999998E-3</v>
      </c>
      <c r="E95" s="77">
        <f t="shared" si="23"/>
        <v>5.1999999999999998E-3</v>
      </c>
      <c r="F95" s="77">
        <f t="shared" si="23"/>
        <v>5.1999999999999998E-3</v>
      </c>
      <c r="G95" s="77">
        <f t="shared" si="23"/>
        <v>5.1999999999999998E-3</v>
      </c>
      <c r="H95" s="77">
        <f t="shared" si="23"/>
        <v>5.1999999999999998E-3</v>
      </c>
      <c r="I95" s="77">
        <f t="shared" si="23"/>
        <v>5.1999999999999998E-3</v>
      </c>
      <c r="J95" s="77">
        <f t="shared" si="23"/>
        <v>5.1999999999999998E-3</v>
      </c>
      <c r="K95" s="77">
        <f t="shared" si="23"/>
        <v>5.1999999999999998E-3</v>
      </c>
      <c r="L95" s="77">
        <f t="shared" si="23"/>
        <v>5.1999999999999998E-3</v>
      </c>
      <c r="M95" s="77">
        <f t="shared" si="23"/>
        <v>5.1999999999999998E-3</v>
      </c>
    </row>
    <row r="96" spans="2:14" ht="16" thickBot="1">
      <c r="B96" s="260" t="s">
        <v>241</v>
      </c>
      <c r="C96" s="260"/>
      <c r="D96" s="263">
        <f t="shared" ref="D96:M96" si="24">D94+D95</f>
        <v>8.4274999999999989E-2</v>
      </c>
      <c r="E96" s="263">
        <f t="shared" si="24"/>
        <v>8.4274999999999989E-2</v>
      </c>
      <c r="F96" s="263">
        <f t="shared" si="24"/>
        <v>8.3650000000000002E-2</v>
      </c>
      <c r="G96" s="263">
        <f t="shared" si="24"/>
        <v>8.2799999999999999E-2</v>
      </c>
      <c r="H96" s="263">
        <f t="shared" si="24"/>
        <v>8.1600000000000006E-2</v>
      </c>
      <c r="I96" s="263">
        <f t="shared" si="24"/>
        <v>8.0149999999999999E-2</v>
      </c>
      <c r="J96" s="263">
        <f t="shared" si="24"/>
        <v>7.8349999999999989E-2</v>
      </c>
      <c r="K96" s="263">
        <f t="shared" si="24"/>
        <v>7.6299999999999993E-2</v>
      </c>
      <c r="L96" s="263">
        <f t="shared" si="24"/>
        <v>7.2050000000000003E-2</v>
      </c>
      <c r="M96" s="263">
        <f t="shared" si="24"/>
        <v>6.8400000000000002E-2</v>
      </c>
      <c r="N96" s="78"/>
    </row>
    <row r="97" spans="2:13" ht="16" thickTop="1"/>
    <row r="98" spans="2:13">
      <c r="B98" s="87" t="s">
        <v>242</v>
      </c>
      <c r="C98" s="87"/>
      <c r="D98" s="87">
        <f t="shared" ref="D98:M98" si="25">$M$93-D93</f>
        <v>9</v>
      </c>
      <c r="E98" s="87">
        <f t="shared" si="25"/>
        <v>8</v>
      </c>
      <c r="F98" s="87">
        <f t="shared" si="25"/>
        <v>7</v>
      </c>
      <c r="G98" s="87">
        <f t="shared" si="25"/>
        <v>6</v>
      </c>
      <c r="H98" s="87">
        <f t="shared" si="25"/>
        <v>5</v>
      </c>
      <c r="I98" s="87">
        <f t="shared" si="25"/>
        <v>4</v>
      </c>
      <c r="J98" s="87">
        <f t="shared" si="25"/>
        <v>3</v>
      </c>
      <c r="K98" s="87">
        <f t="shared" si="25"/>
        <v>2</v>
      </c>
      <c r="L98" s="87">
        <f t="shared" si="25"/>
        <v>1</v>
      </c>
      <c r="M98" s="87">
        <f t="shared" si="25"/>
        <v>0</v>
      </c>
    </row>
    <row r="99" spans="2:13">
      <c r="B99" s="124" t="s">
        <v>299</v>
      </c>
      <c r="C99" s="124">
        <f>C111</f>
        <v>11</v>
      </c>
      <c r="D99" s="124">
        <f t="shared" ref="D99:M99" si="26">C101</f>
        <v>11</v>
      </c>
      <c r="E99" s="124">
        <f t="shared" si="26"/>
        <v>11</v>
      </c>
      <c r="F99" s="124">
        <f t="shared" si="26"/>
        <v>11</v>
      </c>
      <c r="G99" s="124">
        <f t="shared" si="26"/>
        <v>11</v>
      </c>
      <c r="H99" s="124">
        <f t="shared" si="26"/>
        <v>11</v>
      </c>
      <c r="I99" s="124">
        <f t="shared" si="26"/>
        <v>11</v>
      </c>
      <c r="J99" s="124">
        <f t="shared" si="26"/>
        <v>11</v>
      </c>
      <c r="K99" s="124">
        <f t="shared" si="26"/>
        <v>11</v>
      </c>
      <c r="L99" s="124">
        <f t="shared" si="26"/>
        <v>11</v>
      </c>
      <c r="M99" s="124">
        <f t="shared" si="26"/>
        <v>11</v>
      </c>
    </row>
    <row r="100" spans="2:13">
      <c r="B100" s="124" t="s">
        <v>300</v>
      </c>
      <c r="C100" s="124">
        <v>0</v>
      </c>
      <c r="D100" s="124">
        <v>0</v>
      </c>
      <c r="E100" s="124">
        <v>0</v>
      </c>
      <c r="F100" s="124">
        <v>0</v>
      </c>
      <c r="G100" s="124">
        <v>0</v>
      </c>
      <c r="H100" s="124">
        <v>0</v>
      </c>
      <c r="I100" s="124">
        <v>0</v>
      </c>
      <c r="J100" s="124">
        <v>0</v>
      </c>
      <c r="K100" s="124">
        <v>0</v>
      </c>
      <c r="L100" s="124">
        <v>0</v>
      </c>
      <c r="M100" s="124">
        <v>0</v>
      </c>
    </row>
    <row r="101" spans="2:13">
      <c r="B101" s="124" t="s">
        <v>301</v>
      </c>
      <c r="C101" s="124">
        <f t="shared" ref="C101:M101" si="27">C99-C100</f>
        <v>11</v>
      </c>
      <c r="D101" s="124">
        <f t="shared" si="27"/>
        <v>11</v>
      </c>
      <c r="E101" s="124">
        <f t="shared" si="27"/>
        <v>11</v>
      </c>
      <c r="F101" s="124">
        <f t="shared" si="27"/>
        <v>11</v>
      </c>
      <c r="G101" s="124">
        <f t="shared" si="27"/>
        <v>11</v>
      </c>
      <c r="H101" s="124">
        <f t="shared" si="27"/>
        <v>11</v>
      </c>
      <c r="I101" s="124">
        <f t="shared" si="27"/>
        <v>11</v>
      </c>
      <c r="J101" s="124">
        <f t="shared" si="27"/>
        <v>11</v>
      </c>
      <c r="K101" s="124">
        <f t="shared" si="27"/>
        <v>11</v>
      </c>
      <c r="L101" s="124">
        <f t="shared" si="27"/>
        <v>11</v>
      </c>
      <c r="M101" s="124">
        <f t="shared" si="27"/>
        <v>11</v>
      </c>
    </row>
    <row r="102" spans="2:13">
      <c r="B102" s="76" t="s">
        <v>244</v>
      </c>
      <c r="C102" s="124"/>
      <c r="D102" s="124">
        <v>0</v>
      </c>
      <c r="E102" s="124">
        <v>0</v>
      </c>
      <c r="F102" s="126">
        <f t="shared" ref="F102:M102" si="28">AVERAGE(F101,F99)*F96</f>
        <v>0.92015000000000002</v>
      </c>
      <c r="G102" s="126">
        <f t="shared" si="28"/>
        <v>0.91079999999999994</v>
      </c>
      <c r="H102" s="126">
        <f t="shared" si="28"/>
        <v>0.89760000000000006</v>
      </c>
      <c r="I102" s="126">
        <f t="shared" si="28"/>
        <v>0.88165000000000004</v>
      </c>
      <c r="J102" s="126">
        <f t="shared" si="28"/>
        <v>0.86184999999999989</v>
      </c>
      <c r="K102" s="126">
        <f t="shared" si="28"/>
        <v>0.83929999999999993</v>
      </c>
      <c r="L102" s="126">
        <f t="shared" si="28"/>
        <v>0.79255000000000009</v>
      </c>
      <c r="M102" s="126">
        <f t="shared" si="28"/>
        <v>0.75240000000000007</v>
      </c>
    </row>
    <row r="103" spans="2:13">
      <c r="B103" s="76" t="s">
        <v>245</v>
      </c>
      <c r="D103" s="126">
        <f>AVERAGE(D101,D99)*D96</f>
        <v>0.92702499999999988</v>
      </c>
      <c r="E103" s="126">
        <f>AVERAGE(E101,E99)*E96</f>
        <v>0.92702499999999988</v>
      </c>
    </row>
    <row r="104" spans="2:13">
      <c r="B104" s="76" t="s">
        <v>246</v>
      </c>
      <c r="C104" s="76">
        <f>C111</f>
        <v>11</v>
      </c>
      <c r="D104" s="76">
        <v>0</v>
      </c>
      <c r="E104" s="76">
        <v>0</v>
      </c>
      <c r="F104" s="126">
        <f t="shared" ref="F104:L104" si="29">-F102</f>
        <v>-0.92015000000000002</v>
      </c>
      <c r="G104" s="126">
        <f t="shared" si="29"/>
        <v>-0.91079999999999994</v>
      </c>
      <c r="H104" s="126">
        <f t="shared" si="29"/>
        <v>-0.89760000000000006</v>
      </c>
      <c r="I104" s="126">
        <f t="shared" si="29"/>
        <v>-0.88165000000000004</v>
      </c>
      <c r="J104" s="126">
        <f t="shared" si="29"/>
        <v>-0.86184999999999989</v>
      </c>
      <c r="K104" s="126">
        <f t="shared" si="29"/>
        <v>-0.83929999999999993</v>
      </c>
      <c r="L104" s="126">
        <f t="shared" si="29"/>
        <v>-0.79255000000000009</v>
      </c>
      <c r="M104" s="76">
        <v>-11</v>
      </c>
    </row>
    <row r="105" spans="2:13">
      <c r="B105" s="76" t="s">
        <v>247</v>
      </c>
      <c r="M105" s="76">
        <f>-(D103*(C89+1)^M92+E103*(1+C88)^L92)</f>
        <v>-3.8235770625624461</v>
      </c>
    </row>
    <row r="106" spans="2:13" ht="16" thickBot="1">
      <c r="B106" s="260" t="s">
        <v>1386</v>
      </c>
      <c r="C106" s="260">
        <f t="shared" ref="C106:M106" si="30">SUM(C104:C105)</f>
        <v>11</v>
      </c>
      <c r="D106" s="260">
        <f t="shared" si="30"/>
        <v>0</v>
      </c>
      <c r="E106" s="260">
        <f t="shared" si="30"/>
        <v>0</v>
      </c>
      <c r="F106" s="261">
        <f t="shared" si="30"/>
        <v>-0.92015000000000002</v>
      </c>
      <c r="G106" s="261">
        <f t="shared" si="30"/>
        <v>-0.91079999999999994</v>
      </c>
      <c r="H106" s="261">
        <f t="shared" si="30"/>
        <v>-0.89760000000000006</v>
      </c>
      <c r="I106" s="261">
        <f t="shared" si="30"/>
        <v>-0.88165000000000004</v>
      </c>
      <c r="J106" s="261">
        <f t="shared" si="30"/>
        <v>-0.86184999999999989</v>
      </c>
      <c r="K106" s="261">
        <f t="shared" si="30"/>
        <v>-0.83929999999999993</v>
      </c>
      <c r="L106" s="261">
        <f t="shared" si="30"/>
        <v>-0.79255000000000009</v>
      </c>
      <c r="M106" s="261">
        <f t="shared" si="30"/>
        <v>-14.823577062562446</v>
      </c>
    </row>
    <row r="107" spans="2:13" ht="16" thickTop="1">
      <c r="C107" s="123"/>
    </row>
    <row r="108" spans="2:13">
      <c r="B108" s="146" t="s">
        <v>302</v>
      </c>
      <c r="C108" s="275">
        <f>IRR(C106:M106)</f>
        <v>7.7472697802035473E-2</v>
      </c>
      <c r="D108" s="10"/>
    </row>
    <row r="109" spans="2:13">
      <c r="C109" s="78"/>
      <c r="D109" s="10"/>
    </row>
    <row r="110" spans="2:13">
      <c r="B110" s="254" t="s">
        <v>303</v>
      </c>
      <c r="C110" s="255" t="s">
        <v>30</v>
      </c>
      <c r="D110" s="255" t="s">
        <v>304</v>
      </c>
      <c r="E110" s="254" t="s">
        <v>305</v>
      </c>
      <c r="F110" s="254" t="s">
        <v>306</v>
      </c>
      <c r="G110" s="254" t="s">
        <v>307</v>
      </c>
      <c r="H110" s="254" t="s">
        <v>308</v>
      </c>
      <c r="I110" s="271" t="s">
        <v>309</v>
      </c>
    </row>
    <row r="111" spans="2:13">
      <c r="B111" s="76" t="s">
        <v>95</v>
      </c>
      <c r="C111" s="76">
        <v>11</v>
      </c>
      <c r="E111" s="77">
        <v>5.1999999999999998E-3</v>
      </c>
      <c r="F111" s="88"/>
      <c r="G111" s="76" t="s">
        <v>310</v>
      </c>
      <c r="H111" s="88">
        <v>36860</v>
      </c>
      <c r="I111" s="89"/>
    </row>
    <row r="112" spans="2:13">
      <c r="D112" s="77"/>
    </row>
    <row r="114" spans="1:14" s="155" customFormat="1">
      <c r="A114" s="272" t="s">
        <v>13</v>
      </c>
      <c r="B114" s="143" t="s">
        <v>1321</v>
      </c>
      <c r="C114" s="161"/>
      <c r="D114" s="161"/>
      <c r="E114" s="161"/>
      <c r="F114" s="162"/>
      <c r="G114" s="162"/>
      <c r="H114" s="162"/>
      <c r="I114" s="162"/>
      <c r="J114" s="162"/>
      <c r="K114" s="162"/>
      <c r="L114" s="162"/>
      <c r="M114" s="162"/>
      <c r="N114" s="163"/>
    </row>
    <row r="116" spans="1:14">
      <c r="B116" s="122" t="s">
        <v>1322</v>
      </c>
      <c r="C116" s="273" t="s">
        <v>589</v>
      </c>
      <c r="D116" s="273" t="s">
        <v>1376</v>
      </c>
      <c r="E116" s="273" t="s">
        <v>1377</v>
      </c>
      <c r="F116" s="145"/>
    </row>
    <row r="117" spans="1:14">
      <c r="B117" s="76" t="s">
        <v>263</v>
      </c>
      <c r="C117" s="76">
        <f>'Exhibit 8'!E22</f>
        <v>1.7</v>
      </c>
      <c r="D117" s="81">
        <f>C117/$C$121</f>
        <v>2.8253282366627885E-2</v>
      </c>
      <c r="E117" s="136">
        <f>AVERAGE(E14:K14)</f>
        <v>7.7545238095238084E-2</v>
      </c>
    </row>
    <row r="118" spans="1:14">
      <c r="B118" s="76" t="s">
        <v>264</v>
      </c>
      <c r="C118" s="76">
        <f>LBO!C42</f>
        <v>32</v>
      </c>
      <c r="D118" s="81">
        <f t="shared" ref="D118:D120" si="31">C118/$C$121</f>
        <v>0.53182649160711315</v>
      </c>
      <c r="E118" s="136">
        <f>AVERAGE(E49:K49)</f>
        <v>7.7545238095238084E-2</v>
      </c>
    </row>
    <row r="119" spans="1:14">
      <c r="B119" s="76" t="s">
        <v>280</v>
      </c>
      <c r="C119" s="76">
        <f>'Exhibit 8'!E24</f>
        <v>15</v>
      </c>
      <c r="D119" s="81">
        <f t="shared" si="31"/>
        <v>0.2492936679408343</v>
      </c>
      <c r="E119" s="136">
        <f>AVERAGE(E66:L66)</f>
        <v>8.7522916666666659E-2</v>
      </c>
    </row>
    <row r="120" spans="1:14">
      <c r="B120" s="76" t="s">
        <v>238</v>
      </c>
      <c r="C120" s="76">
        <f>'Exhibit 8'!E25</f>
        <v>11.47</v>
      </c>
      <c r="D120" s="81">
        <f t="shared" si="31"/>
        <v>0.19062655808542464</v>
      </c>
      <c r="E120" s="136">
        <f>AVERAGE(D96:M96)</f>
        <v>7.9184999999999992E-2</v>
      </c>
    </row>
    <row r="121" spans="1:14">
      <c r="B121" s="262" t="s">
        <v>1327</v>
      </c>
      <c r="C121" s="262">
        <f>SUM(C117:C120)</f>
        <v>60.17</v>
      </c>
      <c r="D121" s="274">
        <f>SUM(D117:D120)</f>
        <v>1</v>
      </c>
      <c r="E121" s="125"/>
    </row>
    <row r="123" spans="1:14">
      <c r="B123" s="278" t="s">
        <v>1328</v>
      </c>
      <c r="C123" s="279">
        <f>D117*E117+D118*E118+D119*E119+D120*E120</f>
        <v>8.0345192351828534E-2</v>
      </c>
    </row>
    <row r="124" spans="1:14">
      <c r="D124" s="82"/>
    </row>
    <row r="142" spans="2:12">
      <c r="B142" s="79"/>
      <c r="C142" s="39">
        <v>1991</v>
      </c>
      <c r="D142" s="39">
        <v>1992</v>
      </c>
      <c r="E142" s="39">
        <v>1993</v>
      </c>
      <c r="F142" s="39">
        <v>1994</v>
      </c>
      <c r="G142" s="39">
        <v>1995</v>
      </c>
      <c r="H142" s="39">
        <v>1996</v>
      </c>
      <c r="I142" s="39">
        <v>1997</v>
      </c>
      <c r="J142" s="39">
        <v>1998</v>
      </c>
      <c r="K142" s="39">
        <v>1999</v>
      </c>
      <c r="L142" s="287"/>
    </row>
    <row r="143" spans="2:12">
      <c r="B143" s="76" t="str">
        <f>APV!B53</f>
        <v>Free Cash Flow</v>
      </c>
      <c r="C143" s="92">
        <f>APV!H53</f>
        <v>7.375</v>
      </c>
      <c r="D143" s="92">
        <f>APV!I53</f>
        <v>9.9439999999999991</v>
      </c>
      <c r="E143" s="92">
        <f>APV!J53</f>
        <v>9.6340999999999983</v>
      </c>
      <c r="F143" s="92">
        <f>APV!K53</f>
        <v>10.744999999999999</v>
      </c>
      <c r="G143" s="92">
        <f>APV!L53</f>
        <v>11.837</v>
      </c>
      <c r="H143" s="92">
        <f>APV!M53</f>
        <v>12.842999999999998</v>
      </c>
      <c r="I143" s="92">
        <f>APV!N53</f>
        <v>13.93</v>
      </c>
      <c r="J143" s="92">
        <f>APV!O53</f>
        <v>15.095000000000002</v>
      </c>
      <c r="K143" s="92">
        <f>APV!P53</f>
        <v>16.231561629160179</v>
      </c>
      <c r="L143" s="92"/>
    </row>
    <row r="144" spans="2:12">
      <c r="B144" s="284" t="str">
        <f>'Debt valuation'!B20</f>
        <v>CF Revolving</v>
      </c>
      <c r="C144" s="140">
        <f>E20</f>
        <v>-0.16450000000000001</v>
      </c>
      <c r="D144" s="140">
        <f t="shared" ref="D144:H144" si="32">F20</f>
        <v>-0.12120666666666666</v>
      </c>
      <c r="E144" s="140">
        <f t="shared" si="32"/>
        <v>-0.11236666666666667</v>
      </c>
      <c r="F144" s="140">
        <f t="shared" si="32"/>
        <v>-0.15234500000000001</v>
      </c>
      <c r="G144" s="140">
        <f t="shared" si="32"/>
        <v>-0.15182083333333335</v>
      </c>
      <c r="H144" s="140">
        <f t="shared" si="32"/>
        <v>-0.14955416666666665</v>
      </c>
      <c r="I144" s="140">
        <f>K20</f>
        <v>-1.8514949999999999</v>
      </c>
    </row>
    <row r="145" spans="2:20">
      <c r="B145" s="284" t="str">
        <f>B52</f>
        <v>CF Senior</v>
      </c>
      <c r="C145" s="92">
        <f t="shared" ref="C145:I145" si="33">E52/1000000</f>
        <v>-4.7591133499999998</v>
      </c>
      <c r="D145" s="92">
        <f t="shared" si="33"/>
        <v>-5.7847864613333337</v>
      </c>
      <c r="E145" s="92">
        <f t="shared" si="33"/>
        <v>-5.3531075816666673</v>
      </c>
      <c r="F145" s="92">
        <f t="shared" si="33"/>
        <v>-6.0511078090000003</v>
      </c>
      <c r="G145" s="92">
        <f t="shared" si="33"/>
        <v>-6.6124571261458334</v>
      </c>
      <c r="H145" s="92">
        <f t="shared" si="33"/>
        <v>-7.1203458402604163</v>
      </c>
      <c r="I145" s="92">
        <f t="shared" si="33"/>
        <v>-5.6691744485625</v>
      </c>
      <c r="J145" s="92"/>
      <c r="K145" s="92"/>
    </row>
    <row r="146" spans="2:20">
      <c r="B146" s="284" t="str">
        <f>B70</f>
        <v>CF Mezzanine</v>
      </c>
      <c r="C146" s="92">
        <f t="shared" ref="C146:J146" si="34">E70</f>
        <v>-1.5</v>
      </c>
      <c r="D146" s="92">
        <f t="shared" si="34"/>
        <v>-1.1180000000000001</v>
      </c>
      <c r="E146" s="92">
        <f t="shared" si="34"/>
        <v>-1.04</v>
      </c>
      <c r="F146" s="92">
        <f t="shared" si="34"/>
        <v>-1.3927499999999999</v>
      </c>
      <c r="G146" s="92">
        <f t="shared" si="34"/>
        <v>-1.3881249999999998</v>
      </c>
      <c r="H146" s="92">
        <f t="shared" si="34"/>
        <v>-1.368125</v>
      </c>
      <c r="I146" s="92">
        <f t="shared" si="34"/>
        <v>-1.3852499999999999</v>
      </c>
      <c r="J146" s="92">
        <f t="shared" si="34"/>
        <v>-16.310500000000001</v>
      </c>
      <c r="K146" s="92"/>
    </row>
    <row r="147" spans="2:20">
      <c r="B147" s="284" t="str">
        <f>B106</f>
        <v>CF Vendor Note</v>
      </c>
      <c r="C147" s="92">
        <f>D106</f>
        <v>0</v>
      </c>
      <c r="D147" s="92">
        <f t="shared" ref="D147:K147" si="35">E106</f>
        <v>0</v>
      </c>
      <c r="E147" s="92">
        <f t="shared" si="35"/>
        <v>-0.92015000000000002</v>
      </c>
      <c r="F147" s="92">
        <f t="shared" si="35"/>
        <v>-0.91079999999999994</v>
      </c>
      <c r="G147" s="92">
        <f t="shared" si="35"/>
        <v>-0.89760000000000006</v>
      </c>
      <c r="H147" s="92">
        <f t="shared" si="35"/>
        <v>-0.88165000000000004</v>
      </c>
      <c r="I147" s="92">
        <f t="shared" si="35"/>
        <v>-0.86184999999999989</v>
      </c>
      <c r="J147" s="92">
        <f t="shared" si="35"/>
        <v>-0.83929999999999993</v>
      </c>
      <c r="K147" s="92">
        <f t="shared" si="35"/>
        <v>-0.79255000000000009</v>
      </c>
      <c r="L147" s="92"/>
      <c r="M147" s="92"/>
      <c r="N147" s="92"/>
      <c r="O147" s="92"/>
      <c r="P147" s="92"/>
      <c r="Q147" s="92"/>
      <c r="R147" s="92"/>
      <c r="S147" s="92"/>
      <c r="T147" s="92"/>
    </row>
    <row r="148" spans="2:20">
      <c r="B148" s="285" t="s">
        <v>1389</v>
      </c>
      <c r="C148" s="96">
        <f>SUM(C144:C147)</f>
        <v>-6.4236133500000001</v>
      </c>
      <c r="D148" s="96">
        <f t="shared" ref="D148:K148" si="36">SUM(D144:D147)</f>
        <v>-7.0239931280000008</v>
      </c>
      <c r="E148" s="96">
        <f t="shared" si="36"/>
        <v>-7.4256242483333335</v>
      </c>
      <c r="F148" s="96">
        <f t="shared" si="36"/>
        <v>-8.5070028090000012</v>
      </c>
      <c r="G148" s="96">
        <f t="shared" si="36"/>
        <v>-9.0500029594791673</v>
      </c>
      <c r="H148" s="96">
        <f t="shared" si="36"/>
        <v>-9.5196750069270841</v>
      </c>
      <c r="I148" s="96">
        <f t="shared" si="36"/>
        <v>-9.7677694485625004</v>
      </c>
      <c r="J148" s="96">
        <f t="shared" si="36"/>
        <v>-17.149800000000003</v>
      </c>
      <c r="K148" s="96">
        <f t="shared" si="36"/>
        <v>-0.79255000000000009</v>
      </c>
      <c r="L148" s="92"/>
      <c r="M148" s="92"/>
      <c r="N148" s="92"/>
      <c r="O148" s="92"/>
      <c r="P148" s="92"/>
      <c r="Q148" s="92"/>
      <c r="R148" s="92"/>
      <c r="S148" s="92"/>
      <c r="T148" s="92"/>
    </row>
    <row r="149" spans="2:20" ht="16" thickBot="1">
      <c r="B149" s="260" t="s">
        <v>1388</v>
      </c>
      <c r="C149" s="259">
        <f t="shared" ref="C149:K149" si="37">C143+C148</f>
        <v>0.95138664999999989</v>
      </c>
      <c r="D149" s="259">
        <f t="shared" si="37"/>
        <v>2.9200068719999983</v>
      </c>
      <c r="E149" s="259">
        <f t="shared" si="37"/>
        <v>2.2084757516666649</v>
      </c>
      <c r="F149" s="259">
        <f t="shared" si="37"/>
        <v>2.2379971909999981</v>
      </c>
      <c r="G149" s="259">
        <f t="shared" si="37"/>
        <v>2.7869970405208324</v>
      </c>
      <c r="H149" s="259">
        <f t="shared" si="37"/>
        <v>3.3233249930729141</v>
      </c>
      <c r="I149" s="259">
        <f t="shared" si="37"/>
        <v>4.1622305514374993</v>
      </c>
      <c r="J149" s="259">
        <f t="shared" si="37"/>
        <v>-2.0548000000000002</v>
      </c>
      <c r="K149" s="259">
        <f t="shared" si="37"/>
        <v>15.439011629160179</v>
      </c>
      <c r="L149" s="232"/>
    </row>
    <row r="150" spans="2:20" ht="16" thickTop="1">
      <c r="B150" s="76" t="s">
        <v>1390</v>
      </c>
      <c r="C150" s="286">
        <f>-C148/C143</f>
        <v>0.87099842033898311</v>
      </c>
      <c r="D150" s="286">
        <f t="shared" ref="D150:K150" si="38">-D148/D143</f>
        <v>0.70635490024135172</v>
      </c>
      <c r="E150" s="286">
        <f t="shared" si="38"/>
        <v>0.77076470540406838</v>
      </c>
      <c r="F150" s="286">
        <f t="shared" si="38"/>
        <v>0.79171733913448128</v>
      </c>
      <c r="G150" s="286">
        <f t="shared" si="38"/>
        <v>0.76455207903008937</v>
      </c>
      <c r="H150" s="286">
        <f t="shared" si="38"/>
        <v>0.74123452518314148</v>
      </c>
      <c r="I150" s="286">
        <f t="shared" si="38"/>
        <v>0.70120383693916011</v>
      </c>
      <c r="J150" s="286">
        <f t="shared" si="38"/>
        <v>1.1361245445511758</v>
      </c>
      <c r="K150" s="286">
        <f t="shared" si="38"/>
        <v>4.8827710981066377E-2</v>
      </c>
      <c r="L150" s="129"/>
    </row>
  </sheetData>
  <pageMargins left="0.7" right="0.7" top="0.75" bottom="0.75" header="0.3" footer="0.3"/>
  <pageSetup paperSize="9" orientation="portrait" horizontalDpi="0" verticalDpi="0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289F7-FB75-4D1B-9C4D-F329BBC3EC21}">
  <dimension ref="A1:T175"/>
  <sheetViews>
    <sheetView showGridLines="0" topLeftCell="A155" zoomScaleNormal="70" workbookViewId="0">
      <selection activeCell="E189" sqref="E189"/>
    </sheetView>
  </sheetViews>
  <sheetFormatPr baseColWidth="10" defaultColWidth="8.6640625" defaultRowHeight="15"/>
  <cols>
    <col min="1" max="1" width="3.6640625" customWidth="1"/>
    <col min="2" max="2" width="31.33203125" customWidth="1"/>
    <col min="3" max="3" width="12.5" customWidth="1"/>
    <col min="4" max="4" width="11.6640625" customWidth="1"/>
    <col min="5" max="6" width="40.5" bestFit="1" customWidth="1"/>
    <col min="7" max="7" width="27.33203125" bestFit="1" customWidth="1"/>
    <col min="8" max="8" width="29.6640625" bestFit="1" customWidth="1"/>
    <col min="9" max="9" width="5.33203125" bestFit="1" customWidth="1"/>
    <col min="11" max="11" width="5.33203125" bestFit="1" customWidth="1"/>
    <col min="12" max="12" width="36.5" customWidth="1"/>
    <col min="14" max="14" width="9.5" bestFit="1" customWidth="1"/>
    <col min="17" max="17" width="10.6640625" bestFit="1" customWidth="1"/>
    <col min="19" max="19" width="18" bestFit="1" customWidth="1"/>
    <col min="20" max="20" width="21" customWidth="1"/>
  </cols>
  <sheetData>
    <row r="1" spans="1:16" ht="5" customHeight="1"/>
    <row r="2" spans="1:16" s="1" customFormat="1" ht="22">
      <c r="A2" s="1" t="s">
        <v>13</v>
      </c>
      <c r="B2" s="2" t="s">
        <v>1337</v>
      </c>
    </row>
    <row r="4" spans="1:16" s="155" customFormat="1">
      <c r="A4" s="155" t="s">
        <v>13</v>
      </c>
      <c r="B4" s="143" t="s">
        <v>311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</row>
    <row r="6" spans="1:16">
      <c r="B6" s="107"/>
      <c r="C6" s="107"/>
      <c r="D6" s="107"/>
      <c r="E6" s="107" t="s">
        <v>312</v>
      </c>
      <c r="F6" s="107" t="s">
        <v>313</v>
      </c>
      <c r="G6" s="107" t="s">
        <v>314</v>
      </c>
      <c r="H6" s="107" t="s">
        <v>315</v>
      </c>
      <c r="I6" s="107"/>
      <c r="J6" s="107"/>
      <c r="K6" s="107"/>
      <c r="L6" s="107" t="s">
        <v>316</v>
      </c>
      <c r="M6" s="107"/>
      <c r="N6" s="107"/>
      <c r="O6" s="107"/>
    </row>
    <row r="7" spans="1:16">
      <c r="B7" s="107"/>
      <c r="C7" s="107" t="s">
        <v>317</v>
      </c>
      <c r="D7" s="107" t="s">
        <v>318</v>
      </c>
      <c r="E7" s="107" t="s">
        <v>319</v>
      </c>
      <c r="F7" s="107" t="s">
        <v>319</v>
      </c>
      <c r="G7" s="107" t="s">
        <v>320</v>
      </c>
      <c r="H7" s="107" t="s">
        <v>321</v>
      </c>
      <c r="I7" s="107"/>
      <c r="J7" s="107" t="s">
        <v>322</v>
      </c>
      <c r="K7" s="107"/>
      <c r="L7" s="107" t="s">
        <v>323</v>
      </c>
      <c r="M7" s="107" t="s">
        <v>324</v>
      </c>
      <c r="N7" s="107" t="s">
        <v>325</v>
      </c>
      <c r="O7" s="107" t="s">
        <v>326</v>
      </c>
    </row>
    <row r="8" spans="1:16">
      <c r="B8" t="s">
        <v>327</v>
      </c>
      <c r="C8" s="18" t="s">
        <v>328</v>
      </c>
      <c r="D8" s="18" t="s">
        <v>328</v>
      </c>
      <c r="E8" s="18">
        <v>0.36199999999999999</v>
      </c>
      <c r="F8" s="18" t="s">
        <v>328</v>
      </c>
      <c r="G8" s="19">
        <v>2.7</v>
      </c>
      <c r="H8" s="18" t="s">
        <v>328</v>
      </c>
      <c r="I8" s="18"/>
      <c r="J8" s="18" t="s">
        <v>328</v>
      </c>
      <c r="K8" s="18"/>
      <c r="L8" s="18" t="s">
        <v>328</v>
      </c>
      <c r="M8" s="18" t="s">
        <v>328</v>
      </c>
      <c r="N8" s="18" t="s">
        <v>328</v>
      </c>
      <c r="O8" t="s">
        <v>328</v>
      </c>
    </row>
    <row r="9" spans="1:16">
      <c r="B9" t="s">
        <v>329</v>
      </c>
      <c r="C9" s="18">
        <v>0.7</v>
      </c>
      <c r="D9" s="18">
        <v>0.35</v>
      </c>
      <c r="E9" s="18">
        <v>7.4999999999999997E-2</v>
      </c>
      <c r="F9" s="18">
        <v>2.8000000000000001E-2</v>
      </c>
      <c r="G9" s="18">
        <v>13.5</v>
      </c>
      <c r="H9" s="18">
        <v>21.3</v>
      </c>
      <c r="I9" s="18"/>
      <c r="J9" s="18">
        <v>2.3E-2</v>
      </c>
      <c r="K9" s="18"/>
      <c r="L9" s="18">
        <v>7.4999999999999997E-2</v>
      </c>
      <c r="M9" s="18">
        <v>0.04</v>
      </c>
      <c r="N9" s="24">
        <f t="shared" ref="N9:N20" si="0">C9/(1+F9)</f>
        <v>0.68093385214007773</v>
      </c>
      <c r="O9">
        <f>N9*(1+(1-APV!$C$21)*APV!$C$20)</f>
        <v>0.75615071668559908</v>
      </c>
    </row>
    <row r="10" spans="1:16">
      <c r="B10" t="s">
        <v>330</v>
      </c>
      <c r="C10" s="18">
        <v>1.1000000000000001</v>
      </c>
      <c r="D10" s="18">
        <v>0.2</v>
      </c>
      <c r="E10" s="18">
        <v>0.12</v>
      </c>
      <c r="F10" s="18">
        <v>0.03</v>
      </c>
      <c r="G10" s="18">
        <v>22</v>
      </c>
      <c r="H10" s="18">
        <v>16.5</v>
      </c>
      <c r="I10" s="18"/>
      <c r="J10" s="18">
        <v>3.1</v>
      </c>
      <c r="K10" s="18"/>
      <c r="L10" s="18">
        <v>8.5</v>
      </c>
      <c r="M10" s="18">
        <v>8</v>
      </c>
      <c r="N10" s="24">
        <f t="shared" si="0"/>
        <v>1.0679611650485437</v>
      </c>
      <c r="O10">
        <f>N10*(1+(1-APV!$C$21)*APV!$C$20)</f>
        <v>1.1859295845049591</v>
      </c>
    </row>
    <row r="11" spans="1:16">
      <c r="B11" t="s">
        <v>331</v>
      </c>
      <c r="C11" s="18">
        <v>1.05</v>
      </c>
      <c r="D11" s="18">
        <v>0.3</v>
      </c>
      <c r="E11" s="18">
        <v>0.03</v>
      </c>
      <c r="F11" s="18">
        <v>5.0000000000000001E-3</v>
      </c>
      <c r="G11" s="18">
        <v>18.899999999999999</v>
      </c>
      <c r="H11" s="18">
        <v>19</v>
      </c>
      <c r="I11" s="18"/>
      <c r="J11" s="18">
        <v>4</v>
      </c>
      <c r="K11" s="18"/>
      <c r="L11" s="18" t="s">
        <v>328</v>
      </c>
      <c r="M11" s="18" t="s">
        <v>328</v>
      </c>
      <c r="N11" s="24">
        <f t="shared" si="0"/>
        <v>1.0447761194029852</v>
      </c>
      <c r="O11">
        <f>N11*(1+(1-APV!$C$21)*APV!$C$20)</f>
        <v>1.1601834876907404</v>
      </c>
    </row>
    <row r="12" spans="1:16">
      <c r="B12" t="s">
        <v>332</v>
      </c>
      <c r="C12" s="18">
        <v>1.03</v>
      </c>
      <c r="D12" s="18">
        <v>0.32</v>
      </c>
      <c r="E12" s="18">
        <v>6.0999999999999999E-2</v>
      </c>
      <c r="F12" s="18">
        <v>2.1000000000000001E-2</v>
      </c>
      <c r="G12" s="18">
        <v>12.3</v>
      </c>
      <c r="H12" s="18">
        <v>11.1</v>
      </c>
      <c r="I12" s="18"/>
      <c r="J12" s="18" t="s">
        <v>328</v>
      </c>
      <c r="K12" s="18"/>
      <c r="L12" s="18" t="s">
        <v>328</v>
      </c>
      <c r="M12" s="18" t="s">
        <v>328</v>
      </c>
      <c r="N12" s="24">
        <f t="shared" si="0"/>
        <v>1.0088148873653282</v>
      </c>
      <c r="O12">
        <f>N12*(1+(1-APV!$C$21)*APV!$C$20)</f>
        <v>1.1202499298382258</v>
      </c>
    </row>
    <row r="13" spans="1:16">
      <c r="B13" t="s">
        <v>333</v>
      </c>
      <c r="C13" s="18">
        <v>1.05</v>
      </c>
      <c r="D13" s="18">
        <v>0.23</v>
      </c>
      <c r="E13" s="18">
        <v>3.6999999999999998E-2</v>
      </c>
      <c r="F13" s="18">
        <v>0.01</v>
      </c>
      <c r="G13" s="18">
        <v>19</v>
      </c>
      <c r="H13" s="18">
        <v>15.5</v>
      </c>
      <c r="I13" s="18"/>
      <c r="J13" s="18">
        <v>4.5</v>
      </c>
      <c r="K13" s="18"/>
      <c r="L13" s="18" t="s">
        <v>328</v>
      </c>
      <c r="M13" s="18" t="s">
        <v>328</v>
      </c>
      <c r="N13" s="24">
        <f t="shared" si="0"/>
        <v>1.0396039603960396</v>
      </c>
      <c r="O13">
        <f>N13*(1+(1-APV!$C$21)*APV!$C$20)</f>
        <v>1.1544400050784098</v>
      </c>
    </row>
    <row r="14" spans="1:16">
      <c r="B14" t="s">
        <v>334</v>
      </c>
      <c r="C14" s="18">
        <v>1.1000000000000001</v>
      </c>
      <c r="D14" s="18" t="s">
        <v>328</v>
      </c>
      <c r="E14" s="18">
        <v>0.28299999999999997</v>
      </c>
      <c r="F14" s="18">
        <v>5.8999999999999997E-2</v>
      </c>
      <c r="G14" s="18">
        <v>3.7</v>
      </c>
      <c r="H14" s="18">
        <v>23.6</v>
      </c>
      <c r="I14" s="18"/>
      <c r="J14" s="18">
        <v>1</v>
      </c>
      <c r="K14" s="18"/>
      <c r="L14" s="18" t="s">
        <v>328</v>
      </c>
      <c r="M14" s="18" t="s">
        <v>328</v>
      </c>
      <c r="N14" s="24">
        <f t="shared" si="0"/>
        <v>1.0387157695939566</v>
      </c>
      <c r="O14">
        <f>N14*(1+(1-APV!$C$21)*APV!$C$20)</f>
        <v>1.1534537035317356</v>
      </c>
    </row>
    <row r="15" spans="1:16">
      <c r="B15" t="s">
        <v>335</v>
      </c>
      <c r="C15" s="18">
        <v>1.2</v>
      </c>
      <c r="D15" s="18">
        <v>0.2</v>
      </c>
      <c r="E15" s="18">
        <v>0.25</v>
      </c>
      <c r="F15" s="18">
        <v>0.17599999999999999</v>
      </c>
      <c r="G15" s="18">
        <v>17</v>
      </c>
      <c r="H15" s="18">
        <v>18.3</v>
      </c>
      <c r="I15" s="18"/>
      <c r="J15" s="18">
        <v>2.1</v>
      </c>
      <c r="K15" s="18"/>
      <c r="L15" s="18">
        <v>9.5</v>
      </c>
      <c r="M15" s="18">
        <v>9.5</v>
      </c>
      <c r="N15" s="24">
        <f t="shared" si="0"/>
        <v>1.0204081632653061</v>
      </c>
      <c r="O15">
        <f>N15*(1+(1-APV!$C$21)*APV!$C$20)</f>
        <v>1.133123814508449</v>
      </c>
    </row>
    <row r="16" spans="1:16">
      <c r="B16" t="s">
        <v>336</v>
      </c>
      <c r="C16" s="18">
        <v>1.2</v>
      </c>
      <c r="D16" s="18">
        <v>0.65</v>
      </c>
      <c r="E16" s="18">
        <v>0.29399999999999998</v>
      </c>
      <c r="F16" s="18">
        <v>0.2</v>
      </c>
      <c r="G16" s="18">
        <v>3</v>
      </c>
      <c r="H16" s="18">
        <v>27</v>
      </c>
      <c r="I16" s="18"/>
      <c r="J16" s="18">
        <v>1.9E-2</v>
      </c>
      <c r="K16" s="18"/>
      <c r="L16" s="18">
        <v>7.0000000000000007E-2</v>
      </c>
      <c r="M16" s="18">
        <v>6.5000000000000002E-2</v>
      </c>
      <c r="N16" s="24">
        <f t="shared" si="0"/>
        <v>1</v>
      </c>
      <c r="O16">
        <f>N16*(1+(1-APV!$C$21)*APV!$C$20)</f>
        <v>1.11046133821828</v>
      </c>
    </row>
    <row r="17" spans="1:15">
      <c r="B17" t="s">
        <v>337</v>
      </c>
      <c r="C17" s="18">
        <v>1.2</v>
      </c>
      <c r="D17" s="18">
        <v>0.2</v>
      </c>
      <c r="E17" s="18">
        <v>0.5</v>
      </c>
      <c r="F17" s="18">
        <v>0.249</v>
      </c>
      <c r="G17" s="18">
        <v>19.5</v>
      </c>
      <c r="H17" s="18">
        <v>15.3</v>
      </c>
      <c r="I17" s="18"/>
      <c r="J17" s="18">
        <v>2.7</v>
      </c>
      <c r="K17" s="18"/>
      <c r="L17" s="18">
        <v>6.5</v>
      </c>
      <c r="M17" s="18">
        <v>6.5</v>
      </c>
      <c r="N17" s="24">
        <f t="shared" si="0"/>
        <v>0.96076861489191345</v>
      </c>
      <c r="O17">
        <f>N17*(1+(1-APV!$C$21)*APV!$C$20)</f>
        <v>1.0668964018109974</v>
      </c>
    </row>
    <row r="18" spans="1:15">
      <c r="B18" t="s">
        <v>338</v>
      </c>
      <c r="C18" s="18">
        <v>1.2</v>
      </c>
      <c r="D18" s="18">
        <v>0.65</v>
      </c>
      <c r="E18" s="18">
        <v>0.29399999999999998</v>
      </c>
      <c r="F18" s="18">
        <v>0.2</v>
      </c>
      <c r="G18" s="18">
        <v>3</v>
      </c>
      <c r="H18" s="18">
        <v>27</v>
      </c>
      <c r="I18" s="18"/>
      <c r="J18" s="18">
        <v>1.9E-2</v>
      </c>
      <c r="K18" s="18"/>
      <c r="L18" s="18">
        <v>7.0000000000000007E-2</v>
      </c>
      <c r="M18" s="18">
        <v>6.5000000000000002E-2</v>
      </c>
      <c r="N18" s="24">
        <f t="shared" si="0"/>
        <v>1</v>
      </c>
      <c r="O18">
        <f>N18*(1+(1-APV!$C$21)*APV!$C$20)</f>
        <v>1.11046133821828</v>
      </c>
    </row>
    <row r="19" spans="1:15">
      <c r="B19" t="s">
        <v>339</v>
      </c>
      <c r="C19" s="18">
        <v>1</v>
      </c>
      <c r="D19" s="18">
        <v>0.3</v>
      </c>
      <c r="E19" s="18">
        <v>0.56999999999999995</v>
      </c>
      <c r="F19" s="18">
        <v>0.25</v>
      </c>
      <c r="G19" s="18">
        <v>16</v>
      </c>
      <c r="H19" s="18">
        <v>14</v>
      </c>
      <c r="I19" s="18"/>
      <c r="J19" s="18" t="s">
        <v>328</v>
      </c>
      <c r="K19" s="18"/>
      <c r="L19" s="18" t="s">
        <v>328</v>
      </c>
      <c r="M19" s="18" t="s">
        <v>328</v>
      </c>
      <c r="N19" s="24">
        <f t="shared" si="0"/>
        <v>0.8</v>
      </c>
      <c r="O19">
        <f>N19*(1+(1-APV!$C$21)*APV!$C$20)</f>
        <v>0.888369070574624</v>
      </c>
    </row>
    <row r="20" spans="1:15">
      <c r="B20" t="s">
        <v>340</v>
      </c>
      <c r="C20" s="18">
        <v>1.33</v>
      </c>
      <c r="D20" s="18">
        <v>0.37</v>
      </c>
      <c r="E20" s="18">
        <v>0.61799999999999999</v>
      </c>
      <c r="F20" s="18">
        <v>0.4</v>
      </c>
      <c r="G20" s="19">
        <v>15.7</v>
      </c>
      <c r="H20" s="18">
        <v>11.3</v>
      </c>
      <c r="I20" s="18"/>
      <c r="J20" s="18" t="s">
        <v>328</v>
      </c>
      <c r="K20" s="18"/>
      <c r="L20" s="18" t="s">
        <v>328</v>
      </c>
      <c r="M20" s="18" t="s">
        <v>328</v>
      </c>
      <c r="N20" s="24">
        <f t="shared" si="0"/>
        <v>0.95000000000000007</v>
      </c>
      <c r="O20">
        <f>N20*(1+(1-APV!$C$21)*APV!$C$20)</f>
        <v>1.0549382713073661</v>
      </c>
    </row>
    <row r="21" spans="1:15">
      <c r="B21" s="32" t="s">
        <v>341</v>
      </c>
      <c r="C21" s="59">
        <f>AVERAGE(C8:C20)</f>
        <v>1.0966666666666665</v>
      </c>
      <c r="D21" s="59">
        <f t="shared" ref="D21:N21" si="1">AVERAGE(D8:D20)</f>
        <v>0.34272727272727271</v>
      </c>
      <c r="E21" s="59">
        <f t="shared" si="1"/>
        <v>0.26876923076923076</v>
      </c>
      <c r="F21" s="59">
        <f t="shared" si="1"/>
        <v>0.13566666666666669</v>
      </c>
      <c r="G21" s="59">
        <f t="shared" si="1"/>
        <v>12.792307692307693</v>
      </c>
      <c r="H21" s="59">
        <f t="shared" si="1"/>
        <v>18.325000000000003</v>
      </c>
      <c r="I21" s="59"/>
      <c r="J21" s="59">
        <f t="shared" si="1"/>
        <v>1.9401111111111109</v>
      </c>
      <c r="K21" s="59"/>
      <c r="L21" s="59">
        <f t="shared" si="1"/>
        <v>4.1191666666666666</v>
      </c>
      <c r="M21" s="59">
        <f t="shared" si="1"/>
        <v>4.0283333333333333</v>
      </c>
      <c r="N21" s="59">
        <f t="shared" si="1"/>
        <v>0.96766521100867919</v>
      </c>
      <c r="O21" s="59">
        <f t="shared" ref="O21" si="2">AVERAGE(O8:O20)</f>
        <v>1.0745548051639719</v>
      </c>
    </row>
    <row r="22" spans="1:15">
      <c r="B22" s="31" t="s">
        <v>342</v>
      </c>
      <c r="C22" s="60">
        <f>MEDIAN(C8:C20)</f>
        <v>1.1000000000000001</v>
      </c>
      <c r="D22" s="60">
        <f t="shared" ref="D22:M22" si="3">MEDIAN(D8:D20)</f>
        <v>0.3</v>
      </c>
      <c r="E22" s="60">
        <f t="shared" si="3"/>
        <v>0.28299999999999997</v>
      </c>
      <c r="F22" s="60">
        <f t="shared" si="3"/>
        <v>0.11749999999999999</v>
      </c>
      <c r="G22" s="60">
        <f t="shared" si="3"/>
        <v>15.7</v>
      </c>
      <c r="H22" s="60">
        <f t="shared" si="3"/>
        <v>17.399999999999999</v>
      </c>
      <c r="I22" s="60"/>
      <c r="J22" s="60">
        <f t="shared" si="3"/>
        <v>2.1</v>
      </c>
      <c r="K22" s="60"/>
      <c r="L22" s="60">
        <f t="shared" si="3"/>
        <v>3.2875000000000001</v>
      </c>
      <c r="M22" s="60">
        <f t="shared" si="3"/>
        <v>3.2824999999999998</v>
      </c>
      <c r="N22" s="60">
        <f t="shared" ref="N22" si="4">MEDIAN(N8:N20)</f>
        <v>1.004407443682664</v>
      </c>
      <c r="O22" s="60">
        <f t="shared" ref="O22" si="5">MEDIAN(O8:O20)</f>
        <v>1.1153556340282529</v>
      </c>
    </row>
    <row r="24" spans="1:15" s="16" customFormat="1">
      <c r="B24" s="16" t="s">
        <v>343</v>
      </c>
    </row>
    <row r="26" spans="1:15" s="142" customFormat="1">
      <c r="A26" s="165" t="s">
        <v>13</v>
      </c>
      <c r="B26" s="143" t="s">
        <v>344</v>
      </c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</row>
    <row r="28" spans="1:15">
      <c r="A28" s="280"/>
      <c r="B28" s="280" t="s">
        <v>345</v>
      </c>
      <c r="C28" s="280" t="s">
        <v>346</v>
      </c>
      <c r="D28" s="280" t="s">
        <v>347</v>
      </c>
      <c r="E28" s="280" t="s">
        <v>348</v>
      </c>
      <c r="F28" s="280" t="s">
        <v>349</v>
      </c>
      <c r="G28" s="280" t="s">
        <v>350</v>
      </c>
      <c r="H28" s="280" t="s">
        <v>351</v>
      </c>
      <c r="I28" s="280"/>
      <c r="J28" s="280" t="s">
        <v>352</v>
      </c>
      <c r="K28" s="280"/>
      <c r="L28" s="280" t="s">
        <v>353</v>
      </c>
      <c r="M28" s="280" t="s">
        <v>354</v>
      </c>
    </row>
    <row r="29" spans="1:15">
      <c r="B29" t="s">
        <v>355</v>
      </c>
      <c r="C29" t="s">
        <v>356</v>
      </c>
      <c r="D29">
        <v>10321757.204174999</v>
      </c>
      <c r="E29" t="s">
        <v>357</v>
      </c>
      <c r="F29" t="s">
        <v>357</v>
      </c>
      <c r="G29">
        <v>19102431.2855005</v>
      </c>
      <c r="H29" s="18" t="s">
        <v>358</v>
      </c>
      <c r="I29" s="18"/>
      <c r="J29" s="18" t="s">
        <v>358</v>
      </c>
      <c r="K29" s="18"/>
      <c r="L29" s="18" t="s">
        <v>358</v>
      </c>
      <c r="M29" s="18" t="s">
        <v>358</v>
      </c>
    </row>
    <row r="30" spans="1:15">
      <c r="B30" t="s">
        <v>359</v>
      </c>
      <c r="C30" t="s">
        <v>360</v>
      </c>
      <c r="D30">
        <v>7523792.7901744796</v>
      </c>
      <c r="E30" t="s">
        <v>361</v>
      </c>
      <c r="F30" t="s">
        <v>362</v>
      </c>
      <c r="G30">
        <v>9582329.8025131207</v>
      </c>
      <c r="H30" s="18" t="s">
        <v>358</v>
      </c>
      <c r="I30" s="18"/>
      <c r="J30" s="18" t="s">
        <v>358</v>
      </c>
      <c r="K30" s="18"/>
      <c r="L30" s="18" t="s">
        <v>358</v>
      </c>
      <c r="M30" s="18" t="s">
        <v>358</v>
      </c>
    </row>
    <row r="31" spans="1:15">
      <c r="B31" t="s">
        <v>363</v>
      </c>
      <c r="C31" t="s">
        <v>356</v>
      </c>
      <c r="D31">
        <v>4723413.7375354804</v>
      </c>
      <c r="E31" t="s">
        <v>362</v>
      </c>
      <c r="F31" t="s">
        <v>357</v>
      </c>
      <c r="G31">
        <v>8838600.4633903503</v>
      </c>
      <c r="H31" s="18" t="s">
        <v>358</v>
      </c>
      <c r="I31" s="18"/>
      <c r="J31" s="18" t="s">
        <v>358</v>
      </c>
      <c r="K31" s="18"/>
      <c r="L31" s="18" t="s">
        <v>358</v>
      </c>
      <c r="M31" s="18" t="s">
        <v>358</v>
      </c>
    </row>
    <row r="32" spans="1:15">
      <c r="B32" t="s">
        <v>364</v>
      </c>
      <c r="C32" t="s">
        <v>356</v>
      </c>
      <c r="D32">
        <v>2883406.3472390198</v>
      </c>
      <c r="G32">
        <v>14657426.221764101</v>
      </c>
      <c r="H32" s="18" t="s">
        <v>358</v>
      </c>
      <c r="I32" s="18"/>
      <c r="J32" s="18" t="s">
        <v>358</v>
      </c>
      <c r="K32" s="18"/>
      <c r="L32" s="18" t="s">
        <v>358</v>
      </c>
      <c r="M32" s="18" t="s">
        <v>358</v>
      </c>
    </row>
    <row r="33" spans="2:13">
      <c r="B33" t="s">
        <v>365</v>
      </c>
      <c r="C33" t="s">
        <v>366</v>
      </c>
      <c r="D33">
        <v>2431810.56884646</v>
      </c>
      <c r="G33">
        <v>3526249.3703478598</v>
      </c>
      <c r="H33" s="18" t="s">
        <v>358</v>
      </c>
      <c r="I33" s="18"/>
      <c r="J33" s="18" t="s">
        <v>358</v>
      </c>
      <c r="K33" s="18"/>
      <c r="L33" s="18" t="s">
        <v>358</v>
      </c>
      <c r="M33" s="18" t="s">
        <v>358</v>
      </c>
    </row>
    <row r="34" spans="2:13">
      <c r="B34" t="s">
        <v>367</v>
      </c>
      <c r="C34" t="s">
        <v>368</v>
      </c>
      <c r="D34">
        <v>1567443.20344925</v>
      </c>
      <c r="G34">
        <v>2250444.00997162</v>
      </c>
      <c r="H34" s="18" t="s">
        <v>358</v>
      </c>
      <c r="I34" s="18"/>
      <c r="J34" s="18" t="s">
        <v>358</v>
      </c>
      <c r="K34" s="18"/>
      <c r="L34" s="18">
        <v>-0.22100009918212901</v>
      </c>
      <c r="M34" s="18" t="s">
        <v>358</v>
      </c>
    </row>
    <row r="35" spans="2:13">
      <c r="B35" t="s">
        <v>369</v>
      </c>
      <c r="C35" t="s">
        <v>370</v>
      </c>
      <c r="D35">
        <v>1561848.6078679599</v>
      </c>
      <c r="G35">
        <v>5743756.26920164</v>
      </c>
      <c r="H35" s="18" t="s">
        <v>358</v>
      </c>
      <c r="I35" s="18"/>
      <c r="J35" s="18" t="s">
        <v>358</v>
      </c>
      <c r="K35" s="18"/>
      <c r="L35" s="18">
        <v>6.8829893320798904E-2</v>
      </c>
      <c r="M35" s="18">
        <v>0.123599806004539</v>
      </c>
    </row>
    <row r="36" spans="2:13">
      <c r="B36" t="s">
        <v>371</v>
      </c>
      <c r="C36" t="s">
        <v>372</v>
      </c>
      <c r="D36">
        <v>1443240.29620141</v>
      </c>
      <c r="G36">
        <v>1397686.7986038299</v>
      </c>
      <c r="H36" s="18" t="s">
        <v>358</v>
      </c>
      <c r="I36" s="18"/>
      <c r="J36" s="18" t="s">
        <v>358</v>
      </c>
      <c r="K36" s="18"/>
      <c r="L36" s="18">
        <v>0.48896591886877999</v>
      </c>
      <c r="M36" s="18" t="s">
        <v>358</v>
      </c>
    </row>
    <row r="37" spans="2:13">
      <c r="B37" t="s">
        <v>373</v>
      </c>
      <c r="C37" t="s">
        <v>374</v>
      </c>
      <c r="D37">
        <v>1108391.0039079201</v>
      </c>
      <c r="G37">
        <v>1939589.4829428201</v>
      </c>
      <c r="H37" s="18" t="s">
        <v>358</v>
      </c>
      <c r="I37" s="18"/>
      <c r="J37" s="18" t="s">
        <v>358</v>
      </c>
      <c r="K37" s="18"/>
      <c r="L37" s="18" t="s">
        <v>358</v>
      </c>
      <c r="M37" s="18" t="s">
        <v>358</v>
      </c>
    </row>
    <row r="38" spans="2:13">
      <c r="B38" t="s">
        <v>375</v>
      </c>
      <c r="C38" t="s">
        <v>376</v>
      </c>
      <c r="D38">
        <v>1068989</v>
      </c>
      <c r="G38">
        <v>1743482</v>
      </c>
      <c r="H38" s="18">
        <v>53.540298</v>
      </c>
      <c r="I38" s="18"/>
      <c r="J38" s="18">
        <v>51.867198999999999</v>
      </c>
      <c r="K38" s="18"/>
      <c r="L38" s="18">
        <v>0.21</v>
      </c>
      <c r="M38" s="18">
        <v>0.26</v>
      </c>
    </row>
    <row r="39" spans="2:13">
      <c r="B39" t="s">
        <v>377</v>
      </c>
      <c r="C39" t="s">
        <v>356</v>
      </c>
      <c r="D39">
        <v>1005099.2478658</v>
      </c>
      <c r="G39">
        <v>973974.96777427197</v>
      </c>
      <c r="H39" s="18">
        <v>19.429099999999998</v>
      </c>
      <c r="I39" s="18"/>
      <c r="J39" s="18">
        <v>16.8748</v>
      </c>
      <c r="K39" s="18"/>
      <c r="L39" s="18">
        <v>5.9249999999999997E-3</v>
      </c>
      <c r="M39" s="18">
        <v>7.1910000000000003E-3</v>
      </c>
    </row>
    <row r="40" spans="2:13">
      <c r="B40" t="s">
        <v>378</v>
      </c>
      <c r="C40" t="s">
        <v>374</v>
      </c>
      <c r="D40">
        <v>1002003.78543139</v>
      </c>
      <c r="G40">
        <v>3653831.5531015401</v>
      </c>
      <c r="H40" s="18" t="s">
        <v>358</v>
      </c>
      <c r="I40" s="18"/>
      <c r="J40" s="18" t="s">
        <v>358</v>
      </c>
      <c r="K40" s="18"/>
      <c r="L40" s="18" t="s">
        <v>358</v>
      </c>
      <c r="M40" s="18" t="s">
        <v>358</v>
      </c>
    </row>
    <row r="41" spans="2:13">
      <c r="B41" t="s">
        <v>379</v>
      </c>
      <c r="C41" t="s">
        <v>366</v>
      </c>
      <c r="D41">
        <v>980598.50492060196</v>
      </c>
      <c r="G41">
        <v>1073689.17505682</v>
      </c>
      <c r="H41" s="18" t="s">
        <v>358</v>
      </c>
      <c r="I41" s="18"/>
      <c r="J41" s="18" t="s">
        <v>358</v>
      </c>
      <c r="K41" s="18"/>
      <c r="L41" s="18" t="s">
        <v>358</v>
      </c>
      <c r="M41" s="18" t="s">
        <v>358</v>
      </c>
    </row>
    <row r="42" spans="2:13">
      <c r="B42" t="s">
        <v>380</v>
      </c>
      <c r="C42" t="s">
        <v>356</v>
      </c>
      <c r="D42">
        <v>967783.08779001201</v>
      </c>
      <c r="G42">
        <v>2307884.8055005101</v>
      </c>
      <c r="H42" s="18" t="s">
        <v>358</v>
      </c>
      <c r="I42" s="18"/>
      <c r="J42" s="18" t="s">
        <v>358</v>
      </c>
      <c r="K42" s="18"/>
      <c r="L42" s="18" t="s">
        <v>358</v>
      </c>
      <c r="M42" s="18" t="s">
        <v>358</v>
      </c>
    </row>
    <row r="43" spans="2:13">
      <c r="B43" t="s">
        <v>381</v>
      </c>
      <c r="C43" t="s">
        <v>366</v>
      </c>
      <c r="D43">
        <v>940954.06854152703</v>
      </c>
      <c r="G43">
        <v>1117156.30400181</v>
      </c>
      <c r="H43" s="18" t="s">
        <v>358</v>
      </c>
      <c r="I43" s="18"/>
      <c r="J43" s="18" t="s">
        <v>358</v>
      </c>
      <c r="K43" s="18"/>
      <c r="L43" s="18" t="s">
        <v>358</v>
      </c>
      <c r="M43" s="18" t="s">
        <v>358</v>
      </c>
    </row>
    <row r="44" spans="2:13">
      <c r="B44" t="s">
        <v>382</v>
      </c>
      <c r="C44" t="s">
        <v>383</v>
      </c>
      <c r="D44">
        <v>906860.21589934803</v>
      </c>
      <c r="G44">
        <v>1048118.51892531</v>
      </c>
      <c r="H44" s="18" t="s">
        <v>358</v>
      </c>
      <c r="I44" s="18"/>
      <c r="J44" s="18" t="s">
        <v>358</v>
      </c>
      <c r="K44" s="18"/>
      <c r="L44" s="18" t="s">
        <v>358</v>
      </c>
      <c r="M44" s="18" t="s">
        <v>358</v>
      </c>
    </row>
    <row r="45" spans="2:13">
      <c r="B45" t="s">
        <v>384</v>
      </c>
      <c r="C45" t="s">
        <v>356</v>
      </c>
      <c r="D45">
        <v>725769.29528713203</v>
      </c>
      <c r="G45">
        <v>1519360.72957516</v>
      </c>
      <c r="H45" s="18" t="s">
        <v>358</v>
      </c>
      <c r="I45" s="18"/>
      <c r="J45" s="18" t="s">
        <v>358</v>
      </c>
      <c r="K45" s="18"/>
      <c r="L45" s="18" t="s">
        <v>358</v>
      </c>
      <c r="M45" s="18" t="s">
        <v>358</v>
      </c>
    </row>
    <row r="46" spans="2:13">
      <c r="B46" t="s">
        <v>385</v>
      </c>
      <c r="C46" t="s">
        <v>372</v>
      </c>
      <c r="D46">
        <v>697996.35954201198</v>
      </c>
      <c r="G46">
        <v>2251135.3556066798</v>
      </c>
      <c r="H46" s="18" t="s">
        <v>358</v>
      </c>
      <c r="I46" s="18"/>
      <c r="J46" s="18" t="s">
        <v>358</v>
      </c>
      <c r="K46" s="18"/>
      <c r="L46" s="18" t="s">
        <v>358</v>
      </c>
      <c r="M46" s="18" t="s">
        <v>358</v>
      </c>
    </row>
    <row r="47" spans="2:13">
      <c r="B47" t="s">
        <v>386</v>
      </c>
      <c r="C47" t="s">
        <v>356</v>
      </c>
      <c r="D47">
        <v>571094.07718181598</v>
      </c>
      <c r="G47">
        <v>662045.18399238598</v>
      </c>
      <c r="H47" s="18" t="s">
        <v>358</v>
      </c>
      <c r="I47" s="18"/>
      <c r="J47" s="18" t="s">
        <v>358</v>
      </c>
      <c r="K47" s="18"/>
      <c r="L47" s="18" t="s">
        <v>358</v>
      </c>
      <c r="M47" s="18" t="s">
        <v>358</v>
      </c>
    </row>
    <row r="48" spans="2:13">
      <c r="B48" t="s">
        <v>387</v>
      </c>
      <c r="C48" t="s">
        <v>360</v>
      </c>
      <c r="D48">
        <v>554130.43213486695</v>
      </c>
      <c r="G48">
        <v>695518.86029839504</v>
      </c>
      <c r="H48" s="18" t="s">
        <v>358</v>
      </c>
      <c r="I48" s="18"/>
      <c r="J48" s="18" t="s">
        <v>358</v>
      </c>
      <c r="K48" s="18"/>
      <c r="L48" s="18" t="s">
        <v>358</v>
      </c>
      <c r="M48" s="18" t="s">
        <v>358</v>
      </c>
    </row>
    <row r="49" spans="2:13">
      <c r="B49" t="s">
        <v>388</v>
      </c>
      <c r="C49" t="s">
        <v>360</v>
      </c>
      <c r="D49">
        <v>426607.79731869698</v>
      </c>
      <c r="G49">
        <v>398737.55269050598</v>
      </c>
      <c r="H49" s="18" t="s">
        <v>358</v>
      </c>
      <c r="I49" s="18"/>
      <c r="J49" s="18" t="s">
        <v>358</v>
      </c>
      <c r="K49" s="18"/>
      <c r="L49" s="18" t="s">
        <v>358</v>
      </c>
      <c r="M49" s="18" t="s">
        <v>358</v>
      </c>
    </row>
    <row r="50" spans="2:13">
      <c r="B50" t="s">
        <v>389</v>
      </c>
      <c r="C50" t="s">
        <v>390</v>
      </c>
      <c r="D50">
        <v>370446.00126445299</v>
      </c>
      <c r="G50">
        <v>406432.00139880198</v>
      </c>
      <c r="H50" s="18" t="s">
        <v>358</v>
      </c>
      <c r="I50" s="18"/>
      <c r="J50" s="18" t="s">
        <v>358</v>
      </c>
      <c r="K50" s="18"/>
      <c r="L50" s="18" t="s">
        <v>358</v>
      </c>
      <c r="M50" s="18" t="s">
        <v>358</v>
      </c>
    </row>
    <row r="51" spans="2:13">
      <c r="B51" t="s">
        <v>391</v>
      </c>
      <c r="C51" t="s">
        <v>383</v>
      </c>
      <c r="D51">
        <v>367621.64581954503</v>
      </c>
      <c r="G51">
        <v>458714.57511425001</v>
      </c>
      <c r="H51" s="18" t="s">
        <v>358</v>
      </c>
      <c r="I51" s="18"/>
      <c r="J51" s="18" t="s">
        <v>358</v>
      </c>
      <c r="K51" s="18"/>
      <c r="L51" s="18" t="s">
        <v>358</v>
      </c>
      <c r="M51" s="18" t="s">
        <v>358</v>
      </c>
    </row>
    <row r="52" spans="2:13">
      <c r="B52" t="s">
        <v>392</v>
      </c>
      <c r="C52" t="s">
        <v>368</v>
      </c>
      <c r="D52">
        <v>329685.90182065999</v>
      </c>
      <c r="G52">
        <v>528180.066585541</v>
      </c>
      <c r="H52" s="18" t="s">
        <v>358</v>
      </c>
      <c r="I52" s="18"/>
      <c r="J52" s="18" t="s">
        <v>358</v>
      </c>
      <c r="K52" s="18"/>
      <c r="L52" s="18">
        <v>0.14365006446838399</v>
      </c>
      <c r="M52" s="18" t="s">
        <v>358</v>
      </c>
    </row>
    <row r="53" spans="2:13">
      <c r="B53" t="s">
        <v>393</v>
      </c>
      <c r="C53" t="s">
        <v>356</v>
      </c>
      <c r="D53">
        <v>319431.35716223699</v>
      </c>
      <c r="G53">
        <v>381129.15937578701</v>
      </c>
      <c r="H53" s="18" t="s">
        <v>358</v>
      </c>
      <c r="I53" s="18"/>
      <c r="J53" s="18" t="s">
        <v>358</v>
      </c>
      <c r="K53" s="18"/>
      <c r="L53" s="18" t="s">
        <v>358</v>
      </c>
      <c r="M53" s="18" t="s">
        <v>358</v>
      </c>
    </row>
    <row r="54" spans="2:13">
      <c r="B54" t="s">
        <v>394</v>
      </c>
      <c r="C54" t="s">
        <v>370</v>
      </c>
      <c r="D54">
        <v>271593.31349179102</v>
      </c>
      <c r="G54">
        <v>239612.481000528</v>
      </c>
      <c r="H54" s="18" t="s">
        <v>358</v>
      </c>
      <c r="I54" s="18"/>
      <c r="J54" s="18" t="s">
        <v>358</v>
      </c>
      <c r="K54" s="18"/>
      <c r="L54" s="18" t="s">
        <v>358</v>
      </c>
      <c r="M54" s="18" t="s">
        <v>358</v>
      </c>
    </row>
    <row r="55" spans="2:13">
      <c r="B55" t="s">
        <v>395</v>
      </c>
      <c r="C55" t="s">
        <v>396</v>
      </c>
      <c r="D55">
        <v>258794.13584589999</v>
      </c>
      <c r="G55">
        <v>407349.95746305602</v>
      </c>
      <c r="H55" s="18" t="s">
        <v>358</v>
      </c>
      <c r="I55" s="18"/>
      <c r="J55" s="18" t="s">
        <v>358</v>
      </c>
      <c r="K55" s="18"/>
      <c r="L55" s="18" t="s">
        <v>358</v>
      </c>
      <c r="M55" s="18" t="s">
        <v>358</v>
      </c>
    </row>
    <row r="56" spans="2:13">
      <c r="B56" t="s">
        <v>397</v>
      </c>
      <c r="C56" t="s">
        <v>390</v>
      </c>
      <c r="D56">
        <v>258757.03585147901</v>
      </c>
      <c r="G56">
        <v>438651.83874010999</v>
      </c>
      <c r="H56" s="18">
        <v>175.50700399999999</v>
      </c>
      <c r="I56" s="18"/>
      <c r="J56" s="18" t="s">
        <v>358</v>
      </c>
      <c r="K56" s="18"/>
      <c r="L56" s="18">
        <v>1.0925000000000001E-2</v>
      </c>
      <c r="M56" s="18">
        <v>6.5553E-2</v>
      </c>
    </row>
    <row r="57" spans="2:13">
      <c r="B57" t="s">
        <v>398</v>
      </c>
      <c r="C57" t="s">
        <v>368</v>
      </c>
      <c r="D57">
        <v>251763.343006968</v>
      </c>
      <c r="G57">
        <v>208827.380607128</v>
      </c>
      <c r="H57" s="18" t="s">
        <v>358</v>
      </c>
      <c r="I57" s="18"/>
      <c r="J57" s="18" t="s">
        <v>358</v>
      </c>
      <c r="K57" s="18"/>
      <c r="L57" s="18" t="s">
        <v>358</v>
      </c>
      <c r="M57" s="18" t="s">
        <v>358</v>
      </c>
    </row>
    <row r="58" spans="2:13">
      <c r="B58" t="s">
        <v>399</v>
      </c>
      <c r="C58" t="s">
        <v>356</v>
      </c>
      <c r="D58">
        <v>247032.88701581999</v>
      </c>
      <c r="G58">
        <v>198963.5488621</v>
      </c>
      <c r="H58" s="18" t="s">
        <v>358</v>
      </c>
      <c r="I58" s="18"/>
      <c r="J58" s="18" t="s">
        <v>358</v>
      </c>
      <c r="K58" s="18"/>
      <c r="L58" s="18" t="s">
        <v>358</v>
      </c>
      <c r="M58" s="18" t="s">
        <v>358</v>
      </c>
    </row>
    <row r="59" spans="2:13">
      <c r="B59" t="s">
        <v>400</v>
      </c>
      <c r="C59" t="s">
        <v>366</v>
      </c>
      <c r="D59">
        <v>236476.83914125001</v>
      </c>
      <c r="G59">
        <v>262132.823231816</v>
      </c>
      <c r="H59" s="18" t="s">
        <v>358</v>
      </c>
      <c r="I59" s="18"/>
      <c r="J59" s="18" t="s">
        <v>358</v>
      </c>
      <c r="K59" s="18"/>
      <c r="L59" s="18" t="s">
        <v>358</v>
      </c>
      <c r="M59" s="18" t="s">
        <v>358</v>
      </c>
    </row>
    <row r="60" spans="2:13">
      <c r="B60" t="s">
        <v>401</v>
      </c>
      <c r="C60" t="s">
        <v>372</v>
      </c>
      <c r="D60">
        <v>174733.62657427799</v>
      </c>
      <c r="G60">
        <v>139451.24390870301</v>
      </c>
      <c r="H60" s="18" t="s">
        <v>358</v>
      </c>
      <c r="I60" s="18"/>
      <c r="J60" s="18" t="s">
        <v>358</v>
      </c>
      <c r="K60" s="18"/>
      <c r="L60" s="18" t="s">
        <v>358</v>
      </c>
      <c r="M60" s="18" t="s">
        <v>358</v>
      </c>
    </row>
    <row r="61" spans="2:13">
      <c r="B61" t="s">
        <v>402</v>
      </c>
      <c r="C61" t="s">
        <v>366</v>
      </c>
      <c r="D61">
        <v>168432.058188319</v>
      </c>
      <c r="G61">
        <v>198201.91650509799</v>
      </c>
      <c r="H61" s="18" t="s">
        <v>358</v>
      </c>
      <c r="I61" s="18"/>
      <c r="J61" s="18" t="s">
        <v>358</v>
      </c>
      <c r="K61" s="18"/>
      <c r="L61" s="18" t="s">
        <v>358</v>
      </c>
      <c r="M61" s="18" t="s">
        <v>358</v>
      </c>
    </row>
    <row r="62" spans="2:13">
      <c r="B62" t="s">
        <v>403</v>
      </c>
      <c r="C62" t="s">
        <v>356</v>
      </c>
      <c r="D62">
        <v>167933.09499645201</v>
      </c>
      <c r="G62">
        <v>88160.605324745193</v>
      </c>
      <c r="H62" s="18" t="s">
        <v>358</v>
      </c>
      <c r="I62" s="18"/>
      <c r="J62" s="18" t="s">
        <v>358</v>
      </c>
      <c r="K62" s="18"/>
      <c r="L62" s="18" t="s">
        <v>358</v>
      </c>
      <c r="M62" s="18" t="s">
        <v>358</v>
      </c>
    </row>
    <row r="63" spans="2:13">
      <c r="B63" t="s">
        <v>404</v>
      </c>
      <c r="C63" t="s">
        <v>405</v>
      </c>
      <c r="D63">
        <v>165698</v>
      </c>
      <c r="G63">
        <v>460944</v>
      </c>
      <c r="H63" s="18">
        <v>-311.46398900000003</v>
      </c>
      <c r="I63" s="18"/>
      <c r="J63" s="18">
        <v>70.171599999999998</v>
      </c>
      <c r="K63" s="18"/>
      <c r="L63" s="18">
        <v>-3.141E-2</v>
      </c>
      <c r="M63" s="18">
        <v>3.2543000000000002E-2</v>
      </c>
    </row>
    <row r="64" spans="2:13">
      <c r="B64" t="s">
        <v>406</v>
      </c>
      <c r="C64" t="s">
        <v>368</v>
      </c>
      <c r="D64">
        <v>145307.11468339001</v>
      </c>
      <c r="G64">
        <v>125912.06958890001</v>
      </c>
      <c r="H64" s="18" t="s">
        <v>358</v>
      </c>
      <c r="I64" s="18"/>
      <c r="J64" s="18" t="s">
        <v>358</v>
      </c>
      <c r="K64" s="18"/>
      <c r="L64" s="18">
        <v>-5.8939690380692501E-2</v>
      </c>
      <c r="M64" s="18" t="s">
        <v>358</v>
      </c>
    </row>
    <row r="65" spans="2:13">
      <c r="B65" t="s">
        <v>407</v>
      </c>
      <c r="C65" t="s">
        <v>366</v>
      </c>
      <c r="D65">
        <v>144255.44758796701</v>
      </c>
      <c r="G65">
        <v>192128.699018955</v>
      </c>
      <c r="H65" s="18" t="s">
        <v>358</v>
      </c>
      <c r="I65" s="18"/>
      <c r="J65" s="18" t="s">
        <v>358</v>
      </c>
      <c r="K65" s="18"/>
      <c r="L65" s="18" t="s">
        <v>358</v>
      </c>
      <c r="M65" s="18" t="s">
        <v>358</v>
      </c>
    </row>
    <row r="66" spans="2:13">
      <c r="B66" t="s">
        <v>408</v>
      </c>
      <c r="C66" t="s">
        <v>409</v>
      </c>
      <c r="D66">
        <v>144014.79578912299</v>
      </c>
      <c r="G66">
        <v>173732.817587256</v>
      </c>
      <c r="H66" s="18" t="s">
        <v>358</v>
      </c>
      <c r="I66" s="18"/>
      <c r="J66" s="18" t="s">
        <v>358</v>
      </c>
      <c r="K66" s="18"/>
      <c r="L66" s="18">
        <v>0.24018858253955799</v>
      </c>
      <c r="M66" s="18">
        <v>0.26390521287918101</v>
      </c>
    </row>
    <row r="67" spans="2:13">
      <c r="B67" t="s">
        <v>410</v>
      </c>
      <c r="C67" t="s">
        <v>409</v>
      </c>
      <c r="D67">
        <v>131806.167731792</v>
      </c>
      <c r="G67">
        <v>96529.355533897906</v>
      </c>
      <c r="H67" s="18" t="s">
        <v>358</v>
      </c>
      <c r="I67" s="18"/>
      <c r="J67" s="18" t="s">
        <v>358</v>
      </c>
      <c r="K67" s="18"/>
      <c r="L67" s="18" t="s">
        <v>358</v>
      </c>
      <c r="M67" s="18" t="s">
        <v>358</v>
      </c>
    </row>
    <row r="68" spans="2:13">
      <c r="B68" t="s">
        <v>411</v>
      </c>
      <c r="C68" t="s">
        <v>366</v>
      </c>
      <c r="D68">
        <v>125895.003997087</v>
      </c>
      <c r="G68">
        <v>518149.76499795902</v>
      </c>
      <c r="H68" s="18" t="s">
        <v>358</v>
      </c>
      <c r="I68" s="18"/>
      <c r="J68" s="18" t="s">
        <v>358</v>
      </c>
      <c r="K68" s="18"/>
      <c r="L68" s="18" t="s">
        <v>358</v>
      </c>
      <c r="M68" s="18" t="s">
        <v>358</v>
      </c>
    </row>
    <row r="69" spans="2:13">
      <c r="B69" t="s">
        <v>412</v>
      </c>
      <c r="C69" t="s">
        <v>370</v>
      </c>
      <c r="D69">
        <v>109736.311227083</v>
      </c>
      <c r="G69">
        <v>71361.563758924603</v>
      </c>
      <c r="H69" s="18" t="s">
        <v>358</v>
      </c>
      <c r="I69" s="18"/>
      <c r="J69" s="18" t="s">
        <v>358</v>
      </c>
      <c r="K69" s="18"/>
      <c r="L69" s="18" t="s">
        <v>358</v>
      </c>
      <c r="M69" s="18" t="s">
        <v>358</v>
      </c>
    </row>
    <row r="70" spans="2:13">
      <c r="B70" t="s">
        <v>413</v>
      </c>
      <c r="C70" t="s">
        <v>414</v>
      </c>
      <c r="D70">
        <v>109693.971643925</v>
      </c>
      <c r="G70">
        <v>117356.498155832</v>
      </c>
      <c r="H70" s="18" t="s">
        <v>358</v>
      </c>
      <c r="I70" s="18"/>
      <c r="J70" s="18" t="s">
        <v>358</v>
      </c>
      <c r="K70" s="18"/>
      <c r="L70" s="18" t="s">
        <v>358</v>
      </c>
      <c r="M70" s="18" t="s">
        <v>358</v>
      </c>
    </row>
    <row r="71" spans="2:13">
      <c r="B71" t="s">
        <v>415</v>
      </c>
      <c r="C71" t="s">
        <v>356</v>
      </c>
      <c r="D71">
        <v>101491.84857606899</v>
      </c>
      <c r="G71">
        <v>66736.019337177306</v>
      </c>
      <c r="H71" s="18" t="s">
        <v>358</v>
      </c>
      <c r="I71" s="18"/>
      <c r="J71" s="18" t="s">
        <v>358</v>
      </c>
      <c r="K71" s="18"/>
      <c r="L71" s="18" t="s">
        <v>358</v>
      </c>
      <c r="M71" s="18" t="s">
        <v>358</v>
      </c>
    </row>
    <row r="72" spans="2:13">
      <c r="B72" t="s">
        <v>416</v>
      </c>
      <c r="C72" t="s">
        <v>356</v>
      </c>
      <c r="D72">
        <v>76361.453156948104</v>
      </c>
      <c r="G72">
        <v>84877.838120102897</v>
      </c>
      <c r="H72" s="18" t="s">
        <v>358</v>
      </c>
      <c r="I72" s="18"/>
      <c r="J72" s="18" t="s">
        <v>358</v>
      </c>
      <c r="K72" s="18"/>
      <c r="L72" s="18" t="s">
        <v>358</v>
      </c>
      <c r="M72" s="18" t="s">
        <v>358</v>
      </c>
    </row>
    <row r="73" spans="2:13">
      <c r="B73" t="s">
        <v>417</v>
      </c>
      <c r="C73" t="s">
        <v>368</v>
      </c>
      <c r="D73">
        <v>61723.045786023104</v>
      </c>
      <c r="G73">
        <v>198937.87015199699</v>
      </c>
      <c r="H73" s="18" t="s">
        <v>418</v>
      </c>
      <c r="I73" s="18"/>
      <c r="J73" s="18" t="s">
        <v>358</v>
      </c>
      <c r="K73" s="18"/>
      <c r="L73" s="18" t="s">
        <v>418</v>
      </c>
      <c r="M73" s="18" t="s">
        <v>358</v>
      </c>
    </row>
    <row r="74" spans="2:13">
      <c r="B74" t="s">
        <v>419</v>
      </c>
      <c r="C74" t="s">
        <v>372</v>
      </c>
      <c r="D74">
        <v>55865.179117962703</v>
      </c>
      <c r="G74">
        <v>36738.751959294103</v>
      </c>
      <c r="H74" s="18" t="s">
        <v>358</v>
      </c>
      <c r="I74" s="18"/>
      <c r="J74" s="18" t="s">
        <v>358</v>
      </c>
      <c r="K74" s="18"/>
      <c r="L74" s="18" t="s">
        <v>358</v>
      </c>
      <c r="M74" s="18" t="s">
        <v>358</v>
      </c>
    </row>
    <row r="75" spans="2:13">
      <c r="B75" t="s">
        <v>420</v>
      </c>
      <c r="C75" t="s">
        <v>370</v>
      </c>
      <c r="D75">
        <v>54150.407115802198</v>
      </c>
      <c r="G75">
        <v>33933.570879772298</v>
      </c>
      <c r="H75" s="18" t="s">
        <v>358</v>
      </c>
      <c r="I75" s="18"/>
      <c r="J75" s="18" t="s">
        <v>358</v>
      </c>
      <c r="K75" s="18"/>
      <c r="L75" s="18" t="s">
        <v>358</v>
      </c>
      <c r="M75" s="18" t="s">
        <v>358</v>
      </c>
    </row>
    <row r="76" spans="2:13">
      <c r="B76" t="s">
        <v>421</v>
      </c>
      <c r="C76" t="s">
        <v>376</v>
      </c>
      <c r="D76">
        <v>51247.972211837798</v>
      </c>
      <c r="G76">
        <v>65663.064295649499</v>
      </c>
      <c r="H76" s="18" t="s">
        <v>358</v>
      </c>
      <c r="I76" s="18"/>
      <c r="J76" s="18" t="s">
        <v>358</v>
      </c>
      <c r="K76" s="18"/>
      <c r="L76" s="18" t="s">
        <v>358</v>
      </c>
      <c r="M76" s="18" t="s">
        <v>358</v>
      </c>
    </row>
    <row r="77" spans="2:13">
      <c r="B77" t="s">
        <v>422</v>
      </c>
      <c r="C77" t="s">
        <v>356</v>
      </c>
      <c r="D77">
        <v>50194.416858792298</v>
      </c>
      <c r="G77">
        <v>81317.779222369194</v>
      </c>
      <c r="H77" s="18" t="s">
        <v>358</v>
      </c>
      <c r="I77" s="18"/>
      <c r="J77" s="18" t="s">
        <v>358</v>
      </c>
      <c r="K77" s="18"/>
      <c r="L77" s="18" t="s">
        <v>358</v>
      </c>
      <c r="M77" s="18" t="s">
        <v>358</v>
      </c>
    </row>
    <row r="78" spans="2:13">
      <c r="B78" t="s">
        <v>423</v>
      </c>
      <c r="C78" t="s">
        <v>424</v>
      </c>
      <c r="D78">
        <v>41250.805080886901</v>
      </c>
      <c r="G78">
        <v>61113.055838569999</v>
      </c>
      <c r="H78" s="18" t="s">
        <v>358</v>
      </c>
      <c r="I78" s="18"/>
      <c r="J78" s="18" t="s">
        <v>358</v>
      </c>
      <c r="K78" s="18"/>
      <c r="L78" s="18" t="s">
        <v>358</v>
      </c>
      <c r="M78" s="18" t="s">
        <v>358</v>
      </c>
    </row>
    <row r="79" spans="2:13">
      <c r="B79" t="s">
        <v>425</v>
      </c>
      <c r="C79" t="s">
        <v>356</v>
      </c>
      <c r="D79">
        <v>32069.877402305599</v>
      </c>
      <c r="G79">
        <v>56088.252821922302</v>
      </c>
      <c r="H79" s="18" t="s">
        <v>358</v>
      </c>
      <c r="I79" s="18"/>
      <c r="J79" s="18" t="s">
        <v>358</v>
      </c>
      <c r="K79" s="18"/>
      <c r="L79" s="18" t="s">
        <v>358</v>
      </c>
      <c r="M79" s="18" t="s">
        <v>358</v>
      </c>
    </row>
    <row r="80" spans="2:13">
      <c r="B80" t="s">
        <v>426</v>
      </c>
      <c r="C80" t="s">
        <v>424</v>
      </c>
      <c r="D80">
        <v>27404.001738093801</v>
      </c>
      <c r="G80">
        <v>148471.64019261699</v>
      </c>
      <c r="H80" s="18" t="s">
        <v>358</v>
      </c>
      <c r="I80" s="18"/>
      <c r="J80" s="18" t="s">
        <v>358</v>
      </c>
      <c r="K80" s="18"/>
      <c r="L80" s="18" t="s">
        <v>358</v>
      </c>
      <c r="M80" s="18" t="s">
        <v>358</v>
      </c>
    </row>
    <row r="81" spans="2:13">
      <c r="B81" t="s">
        <v>427</v>
      </c>
      <c r="C81" t="s">
        <v>360</v>
      </c>
      <c r="D81">
        <v>22589.049851954001</v>
      </c>
      <c r="G81">
        <v>16672.011376082901</v>
      </c>
      <c r="H81" s="18" t="s">
        <v>358</v>
      </c>
      <c r="I81" s="18"/>
      <c r="J81" s="18" t="s">
        <v>358</v>
      </c>
      <c r="K81" s="18"/>
      <c r="L81" s="18" t="s">
        <v>358</v>
      </c>
      <c r="M81" s="18" t="s">
        <v>358</v>
      </c>
    </row>
    <row r="82" spans="2:13">
      <c r="B82" t="s">
        <v>428</v>
      </c>
      <c r="C82" t="s">
        <v>396</v>
      </c>
      <c r="D82">
        <v>22247.0358342826</v>
      </c>
      <c r="G82">
        <v>32123.4502640069</v>
      </c>
      <c r="H82" s="18" t="s">
        <v>358</v>
      </c>
      <c r="I82" s="18"/>
      <c r="J82" s="18" t="s">
        <v>358</v>
      </c>
      <c r="K82" s="18"/>
      <c r="L82" s="18" t="s">
        <v>358</v>
      </c>
      <c r="M82" s="18" t="s">
        <v>358</v>
      </c>
    </row>
    <row r="83" spans="2:13">
      <c r="B83" t="s">
        <v>429</v>
      </c>
      <c r="C83" t="s">
        <v>430</v>
      </c>
      <c r="D83">
        <v>21272.260193824801</v>
      </c>
      <c r="G83">
        <v>31166.0370469093</v>
      </c>
      <c r="H83" s="18" t="s">
        <v>358</v>
      </c>
      <c r="I83" s="18"/>
      <c r="J83" s="18" t="s">
        <v>358</v>
      </c>
      <c r="K83" s="18"/>
      <c r="L83" s="18" t="s">
        <v>358</v>
      </c>
      <c r="M83" s="18" t="s">
        <v>358</v>
      </c>
    </row>
    <row r="84" spans="2:13">
      <c r="B84" t="s">
        <v>431</v>
      </c>
      <c r="C84" t="s">
        <v>396</v>
      </c>
      <c r="D84">
        <v>19891.408534705599</v>
      </c>
      <c r="G84">
        <v>9291.6536360979098</v>
      </c>
      <c r="H84" s="18" t="s">
        <v>358</v>
      </c>
      <c r="I84" s="18"/>
      <c r="J84" s="18" t="s">
        <v>358</v>
      </c>
      <c r="K84" s="18"/>
      <c r="L84" s="18" t="s">
        <v>358</v>
      </c>
      <c r="M84" s="18" t="s">
        <v>358</v>
      </c>
    </row>
    <row r="85" spans="2:13">
      <c r="B85" t="s">
        <v>432</v>
      </c>
      <c r="C85" t="s">
        <v>430</v>
      </c>
      <c r="D85">
        <v>19003.6030822992</v>
      </c>
      <c r="G85">
        <v>33680.012040734298</v>
      </c>
      <c r="H85" s="18" t="s">
        <v>358</v>
      </c>
      <c r="I85" s="18"/>
      <c r="J85" s="18" t="s">
        <v>358</v>
      </c>
      <c r="K85" s="18"/>
      <c r="L85" s="18" t="s">
        <v>358</v>
      </c>
      <c r="M85" s="18" t="s">
        <v>358</v>
      </c>
    </row>
    <row r="86" spans="2:13">
      <c r="B86" t="s">
        <v>433</v>
      </c>
      <c r="C86" t="s">
        <v>366</v>
      </c>
      <c r="D86">
        <v>18863.878549337402</v>
      </c>
      <c r="G86">
        <v>34978.063617944703</v>
      </c>
      <c r="H86" s="18" t="s">
        <v>358</v>
      </c>
      <c r="I86" s="18"/>
      <c r="J86" s="18" t="s">
        <v>358</v>
      </c>
      <c r="K86" s="18"/>
      <c r="L86" s="18" t="s">
        <v>358</v>
      </c>
      <c r="M86" s="18" t="s">
        <v>358</v>
      </c>
    </row>
    <row r="87" spans="2:13">
      <c r="B87" t="s">
        <v>434</v>
      </c>
      <c r="C87" t="s">
        <v>366</v>
      </c>
      <c r="D87">
        <v>16688.0155932903</v>
      </c>
      <c r="G87">
        <v>25757.311041951201</v>
      </c>
      <c r="H87" s="18" t="s">
        <v>358</v>
      </c>
      <c r="I87" s="18"/>
      <c r="J87" s="18" t="s">
        <v>358</v>
      </c>
      <c r="K87" s="18"/>
      <c r="L87" s="18" t="s">
        <v>358</v>
      </c>
      <c r="M87" s="18" t="s">
        <v>358</v>
      </c>
    </row>
    <row r="88" spans="2:13">
      <c r="B88" t="s">
        <v>435</v>
      </c>
      <c r="C88" t="s">
        <v>356</v>
      </c>
      <c r="D88">
        <v>15527.5430951118</v>
      </c>
      <c r="G88">
        <v>29230.937108993501</v>
      </c>
      <c r="H88" s="18" t="s">
        <v>358</v>
      </c>
      <c r="I88" s="18"/>
      <c r="J88" s="18" t="s">
        <v>358</v>
      </c>
      <c r="K88" s="18"/>
      <c r="L88" s="18" t="s">
        <v>358</v>
      </c>
      <c r="M88" s="18" t="s">
        <v>358</v>
      </c>
    </row>
    <row r="89" spans="2:13">
      <c r="B89" t="s">
        <v>436</v>
      </c>
      <c r="C89" t="s">
        <v>414</v>
      </c>
      <c r="D89">
        <v>11741.127166748</v>
      </c>
      <c r="G89">
        <v>6420.92891931534</v>
      </c>
      <c r="H89" s="18" t="s">
        <v>358</v>
      </c>
      <c r="I89" s="18"/>
      <c r="J89" s="18" t="s">
        <v>358</v>
      </c>
      <c r="K89" s="18"/>
      <c r="L89" s="18" t="s">
        <v>358</v>
      </c>
      <c r="M89" s="18" t="s">
        <v>358</v>
      </c>
    </row>
    <row r="90" spans="2:13">
      <c r="B90" t="s">
        <v>437</v>
      </c>
      <c r="C90" t="s">
        <v>360</v>
      </c>
      <c r="D90">
        <v>10413.210803866399</v>
      </c>
      <c r="G90">
        <v>7437.3982316255597</v>
      </c>
      <c r="H90" s="18" t="s">
        <v>358</v>
      </c>
      <c r="I90" s="18"/>
      <c r="J90" s="18" t="s">
        <v>358</v>
      </c>
      <c r="K90" s="18"/>
      <c r="L90" s="18" t="s">
        <v>358</v>
      </c>
      <c r="M90" s="18" t="s">
        <v>358</v>
      </c>
    </row>
    <row r="91" spans="2:13">
      <c r="B91" t="s">
        <v>438</v>
      </c>
      <c r="C91" t="s">
        <v>424</v>
      </c>
      <c r="D91">
        <v>8617.9379264339805</v>
      </c>
      <c r="G91">
        <v>5369.8207395113996</v>
      </c>
      <c r="H91" s="18" t="s">
        <v>358</v>
      </c>
      <c r="I91" s="18"/>
      <c r="J91" s="18" t="s">
        <v>358</v>
      </c>
      <c r="K91" s="18"/>
      <c r="L91" s="18" t="s">
        <v>358</v>
      </c>
      <c r="M91" s="18" t="s">
        <v>358</v>
      </c>
    </row>
    <row r="92" spans="2:13">
      <c r="B92" t="s">
        <v>439</v>
      </c>
      <c r="C92" t="s">
        <v>366</v>
      </c>
      <c r="D92">
        <v>6952.0954644679996</v>
      </c>
      <c r="G92">
        <v>6607.5838297605496</v>
      </c>
      <c r="H92" s="18" t="s">
        <v>358</v>
      </c>
      <c r="I92" s="18"/>
      <c r="J92" s="18" t="s">
        <v>358</v>
      </c>
      <c r="K92" s="18"/>
      <c r="L92" s="18" t="s">
        <v>358</v>
      </c>
      <c r="M92" s="18" t="s">
        <v>358</v>
      </c>
    </row>
    <row r="93" spans="2:13">
      <c r="B93" t="s">
        <v>440</v>
      </c>
      <c r="C93" t="s">
        <v>441</v>
      </c>
      <c r="D93">
        <v>6081.6149653270804</v>
      </c>
      <c r="G93">
        <v>29709.772931098902</v>
      </c>
      <c r="H93" s="18" t="s">
        <v>358</v>
      </c>
      <c r="I93" s="18"/>
      <c r="J93" s="18" t="s">
        <v>358</v>
      </c>
      <c r="K93" s="18"/>
      <c r="L93" s="18" t="s">
        <v>358</v>
      </c>
      <c r="M93" s="18" t="s">
        <v>358</v>
      </c>
    </row>
    <row r="94" spans="2:13">
      <c r="B94" t="s">
        <v>442</v>
      </c>
      <c r="C94" t="s">
        <v>443</v>
      </c>
      <c r="D94">
        <v>5404.9844082444097</v>
      </c>
      <c r="G94">
        <v>8367.8801853208497</v>
      </c>
      <c r="H94" s="18" t="s">
        <v>358</v>
      </c>
      <c r="I94" s="18"/>
      <c r="J94" s="18" t="s">
        <v>358</v>
      </c>
      <c r="K94" s="18"/>
      <c r="L94" s="18" t="s">
        <v>358</v>
      </c>
      <c r="M94" s="18" t="s">
        <v>358</v>
      </c>
    </row>
    <row r="95" spans="2:13">
      <c r="B95" t="s">
        <v>444</v>
      </c>
      <c r="C95" t="s">
        <v>360</v>
      </c>
      <c r="D95">
        <v>4258.3847212791397</v>
      </c>
      <c r="G95">
        <v>3913.9325761794998</v>
      </c>
      <c r="H95" s="18" t="s">
        <v>358</v>
      </c>
      <c r="I95" s="18"/>
      <c r="J95" s="18" t="s">
        <v>358</v>
      </c>
      <c r="K95" s="18"/>
      <c r="L95" s="18" t="s">
        <v>358</v>
      </c>
      <c r="M95" s="18" t="s">
        <v>358</v>
      </c>
    </row>
    <row r="96" spans="2:13">
      <c r="B96" t="s">
        <v>445</v>
      </c>
      <c r="C96" t="s">
        <v>360</v>
      </c>
      <c r="D96">
        <v>3743.76420378685</v>
      </c>
      <c r="G96">
        <v>8576.5264850854892</v>
      </c>
      <c r="H96" s="18" t="s">
        <v>358</v>
      </c>
      <c r="I96" s="18"/>
      <c r="J96" s="18" t="s">
        <v>358</v>
      </c>
      <c r="K96" s="18"/>
      <c r="L96" s="18" t="s">
        <v>358</v>
      </c>
      <c r="M96" s="18" t="s">
        <v>358</v>
      </c>
    </row>
    <row r="97" spans="2:13">
      <c r="B97" t="s">
        <v>446</v>
      </c>
      <c r="C97" t="s">
        <v>447</v>
      </c>
      <c r="D97">
        <v>3607.9625023713102</v>
      </c>
      <c r="G97">
        <v>9010.9844734468497</v>
      </c>
      <c r="H97" s="18" t="s">
        <v>358</v>
      </c>
      <c r="I97" s="18"/>
      <c r="J97" s="18" t="s">
        <v>358</v>
      </c>
      <c r="K97" s="18"/>
      <c r="L97" s="18" t="s">
        <v>358</v>
      </c>
      <c r="M97" s="18" t="s">
        <v>358</v>
      </c>
    </row>
    <row r="98" spans="2:13">
      <c r="B98" t="s">
        <v>448</v>
      </c>
      <c r="C98" t="s">
        <v>449</v>
      </c>
      <c r="D98">
        <v>3474.5504117012001</v>
      </c>
      <c r="G98">
        <v>12060.793755617</v>
      </c>
      <c r="H98" s="18" t="s">
        <v>358</v>
      </c>
      <c r="I98" s="18"/>
      <c r="J98" s="18" t="s">
        <v>358</v>
      </c>
      <c r="K98" s="18"/>
      <c r="L98" s="18" t="s">
        <v>358</v>
      </c>
      <c r="M98" s="18" t="s">
        <v>358</v>
      </c>
    </row>
    <row r="99" spans="2:13">
      <c r="B99" t="s">
        <v>450</v>
      </c>
      <c r="C99" t="s">
        <v>356</v>
      </c>
      <c r="D99">
        <v>3403</v>
      </c>
      <c r="G99">
        <v>42117</v>
      </c>
      <c r="H99" s="18" t="s">
        <v>358</v>
      </c>
      <c r="I99" s="18"/>
      <c r="J99" s="18" t="s">
        <v>358</v>
      </c>
      <c r="K99" s="18"/>
      <c r="L99" s="18">
        <v>-5.9644146390438101E-2</v>
      </c>
      <c r="M99" s="18">
        <v>-4.93574676607847E-2</v>
      </c>
    </row>
    <row r="100" spans="2:13">
      <c r="B100" t="s">
        <v>451</v>
      </c>
      <c r="C100" t="s">
        <v>396</v>
      </c>
      <c r="D100">
        <v>3170.97558563948</v>
      </c>
      <c r="G100">
        <v>7954.4733597636196</v>
      </c>
      <c r="H100" s="18" t="s">
        <v>358</v>
      </c>
      <c r="I100" s="18"/>
      <c r="J100" s="18" t="s">
        <v>358</v>
      </c>
      <c r="K100" s="18"/>
      <c r="L100" s="18" t="s">
        <v>358</v>
      </c>
      <c r="M100" s="18" t="s">
        <v>358</v>
      </c>
    </row>
    <row r="101" spans="2:13">
      <c r="B101" t="s">
        <v>452</v>
      </c>
      <c r="C101" t="s">
        <v>424</v>
      </c>
      <c r="D101">
        <v>3098.3454769924301</v>
      </c>
      <c r="G101">
        <v>9813.54683881253</v>
      </c>
      <c r="H101" s="18" t="s">
        <v>358</v>
      </c>
      <c r="I101" s="18"/>
      <c r="J101" s="18" t="s">
        <v>358</v>
      </c>
      <c r="K101" s="18"/>
      <c r="L101" s="18" t="s">
        <v>358</v>
      </c>
      <c r="M101" s="18" t="s">
        <v>358</v>
      </c>
    </row>
    <row r="102" spans="2:13">
      <c r="B102" t="s">
        <v>453</v>
      </c>
      <c r="C102" t="s">
        <v>370</v>
      </c>
      <c r="D102">
        <v>2070.9939697384798</v>
      </c>
      <c r="G102">
        <v>1503.5497356206199</v>
      </c>
      <c r="H102" s="18" t="s">
        <v>358</v>
      </c>
      <c r="I102" s="18"/>
      <c r="J102" s="18" t="s">
        <v>358</v>
      </c>
      <c r="K102" s="18"/>
      <c r="L102" s="18" t="s">
        <v>358</v>
      </c>
      <c r="M102" s="18" t="s">
        <v>358</v>
      </c>
    </row>
    <row r="103" spans="2:13">
      <c r="B103" t="s">
        <v>454</v>
      </c>
      <c r="C103" t="s">
        <v>414</v>
      </c>
      <c r="D103">
        <v>1746.0233622789401</v>
      </c>
      <c r="G103">
        <v>1358.84774804115</v>
      </c>
      <c r="H103" s="18" t="s">
        <v>358</v>
      </c>
      <c r="I103" s="18"/>
      <c r="J103" s="18" t="s">
        <v>358</v>
      </c>
      <c r="K103" s="18"/>
      <c r="L103" s="18" t="s">
        <v>358</v>
      </c>
      <c r="M103" s="18" t="s">
        <v>358</v>
      </c>
    </row>
    <row r="104" spans="2:13">
      <c r="B104" t="s">
        <v>455</v>
      </c>
      <c r="C104" t="s">
        <v>456</v>
      </c>
      <c r="D104">
        <v>1607.1287535429001</v>
      </c>
      <c r="G104">
        <v>2180.8306363820998</v>
      </c>
      <c r="H104" s="18" t="s">
        <v>358</v>
      </c>
      <c r="I104" s="18"/>
      <c r="J104" s="18" t="s">
        <v>358</v>
      </c>
      <c r="K104" s="18"/>
      <c r="L104" s="18" t="s">
        <v>358</v>
      </c>
      <c r="M104" s="18" t="s">
        <v>358</v>
      </c>
    </row>
    <row r="105" spans="2:13">
      <c r="B105" t="s">
        <v>457</v>
      </c>
      <c r="C105" t="s">
        <v>456</v>
      </c>
      <c r="D105">
        <v>1465.88465881348</v>
      </c>
      <c r="G105">
        <v>3672.89180696011</v>
      </c>
      <c r="H105" s="18" t="s">
        <v>358</v>
      </c>
      <c r="I105" s="18"/>
      <c r="J105" s="18" t="s">
        <v>358</v>
      </c>
      <c r="K105" s="18"/>
      <c r="L105" s="18" t="s">
        <v>358</v>
      </c>
      <c r="M105" s="18" t="s">
        <v>358</v>
      </c>
    </row>
    <row r="106" spans="2:13">
      <c r="B106" t="s">
        <v>458</v>
      </c>
      <c r="C106" t="s">
        <v>376</v>
      </c>
      <c r="D106">
        <v>1211.6570186614999</v>
      </c>
      <c r="G106">
        <v>29498.942046761498</v>
      </c>
      <c r="H106" s="18" t="s">
        <v>358</v>
      </c>
      <c r="I106" s="18"/>
      <c r="J106" s="18" t="s">
        <v>358</v>
      </c>
      <c r="K106" s="18"/>
      <c r="L106" s="18" t="s">
        <v>358</v>
      </c>
      <c r="M106" s="18" t="s">
        <v>358</v>
      </c>
    </row>
    <row r="107" spans="2:13">
      <c r="B107" t="s">
        <v>459</v>
      </c>
      <c r="C107" t="s">
        <v>460</v>
      </c>
      <c r="D107">
        <v>1155.64243271481</v>
      </c>
      <c r="G107">
        <v>3513.1473085861699</v>
      </c>
      <c r="H107" s="18" t="s">
        <v>358</v>
      </c>
      <c r="I107" s="18"/>
      <c r="J107" s="18" t="s">
        <v>358</v>
      </c>
      <c r="K107" s="18"/>
      <c r="L107" s="18" t="s">
        <v>358</v>
      </c>
      <c r="M107" s="18" t="s">
        <v>358</v>
      </c>
    </row>
    <row r="108" spans="2:13">
      <c r="B108" t="s">
        <v>461</v>
      </c>
      <c r="C108" t="s">
        <v>372</v>
      </c>
      <c r="D108">
        <v>1115.53322958946</v>
      </c>
      <c r="G108">
        <v>573.30275502800896</v>
      </c>
      <c r="H108" s="18" t="s">
        <v>358</v>
      </c>
      <c r="I108" s="18"/>
      <c r="J108" s="18" t="s">
        <v>358</v>
      </c>
      <c r="K108" s="18"/>
      <c r="L108" s="18" t="s">
        <v>358</v>
      </c>
      <c r="M108" s="18" t="s">
        <v>358</v>
      </c>
    </row>
    <row r="109" spans="2:13">
      <c r="B109" t="s">
        <v>462</v>
      </c>
      <c r="C109" t="s">
        <v>372</v>
      </c>
      <c r="D109">
        <v>1053.58047285676</v>
      </c>
      <c r="G109">
        <v>1486.38665108383</v>
      </c>
      <c r="H109" s="18" t="s">
        <v>358</v>
      </c>
      <c r="I109" s="18"/>
      <c r="J109" s="18" t="s">
        <v>358</v>
      </c>
      <c r="K109" s="18"/>
      <c r="L109" s="18" t="s">
        <v>358</v>
      </c>
      <c r="M109" s="18" t="s">
        <v>358</v>
      </c>
    </row>
    <row r="110" spans="2:13">
      <c r="B110" t="s">
        <v>463</v>
      </c>
      <c r="C110" t="s">
        <v>370</v>
      </c>
      <c r="D110">
        <v>1016.73430688679</v>
      </c>
      <c r="G110">
        <v>19524.544128418001</v>
      </c>
      <c r="H110" s="18" t="s">
        <v>358</v>
      </c>
      <c r="I110" s="18"/>
      <c r="J110" s="18" t="s">
        <v>358</v>
      </c>
      <c r="K110" s="18"/>
      <c r="L110" s="18" t="s">
        <v>358</v>
      </c>
      <c r="M110" s="18" t="s">
        <v>358</v>
      </c>
    </row>
    <row r="111" spans="2:13">
      <c r="B111" t="s">
        <v>464</v>
      </c>
      <c r="C111" t="s">
        <v>396</v>
      </c>
      <c r="D111">
        <v>915.76175567507698</v>
      </c>
      <c r="G111">
        <v>790.13132876157795</v>
      </c>
      <c r="H111" s="18" t="s">
        <v>358</v>
      </c>
      <c r="I111" s="18"/>
      <c r="J111" s="18" t="s">
        <v>358</v>
      </c>
      <c r="K111" s="18"/>
      <c r="L111" s="18" t="s">
        <v>358</v>
      </c>
      <c r="M111" s="18" t="s">
        <v>358</v>
      </c>
    </row>
    <row r="112" spans="2:13">
      <c r="B112" t="s">
        <v>465</v>
      </c>
      <c r="C112" t="s">
        <v>456</v>
      </c>
      <c r="D112">
        <v>628.23628234863304</v>
      </c>
      <c r="G112">
        <v>5854.2677873373004</v>
      </c>
      <c r="H112" s="18" t="s">
        <v>358</v>
      </c>
      <c r="I112" s="18"/>
      <c r="J112" s="18" t="s">
        <v>358</v>
      </c>
      <c r="K112" s="18"/>
      <c r="L112" s="18" t="s">
        <v>358</v>
      </c>
      <c r="M112" s="18" t="s">
        <v>358</v>
      </c>
    </row>
    <row r="113" spans="2:13">
      <c r="B113" t="s">
        <v>466</v>
      </c>
      <c r="C113" t="s">
        <v>441</v>
      </c>
      <c r="D113">
        <v>490.66059813648502</v>
      </c>
      <c r="G113">
        <v>348.44737131893601</v>
      </c>
      <c r="H113" s="18" t="s">
        <v>358</v>
      </c>
      <c r="I113" s="18"/>
      <c r="J113" s="18" t="s">
        <v>358</v>
      </c>
      <c r="K113" s="18"/>
      <c r="L113" s="18" t="s">
        <v>358</v>
      </c>
      <c r="M113" s="18" t="s">
        <v>358</v>
      </c>
    </row>
    <row r="114" spans="2:13">
      <c r="B114" t="s">
        <v>467</v>
      </c>
      <c r="C114" t="s">
        <v>396</v>
      </c>
      <c r="D114">
        <v>444.13650020956999</v>
      </c>
      <c r="G114">
        <v>822.39085972309101</v>
      </c>
      <c r="H114" s="18" t="s">
        <v>358</v>
      </c>
      <c r="I114" s="18"/>
      <c r="J114" s="18" t="s">
        <v>358</v>
      </c>
      <c r="K114" s="18"/>
      <c r="L114" s="18" t="s">
        <v>358</v>
      </c>
      <c r="M114" s="18" t="s">
        <v>358</v>
      </c>
    </row>
    <row r="115" spans="2:13">
      <c r="B115" t="s">
        <v>468</v>
      </c>
      <c r="C115" t="s">
        <v>370</v>
      </c>
      <c r="D115">
        <v>417.81945008039497</v>
      </c>
      <c r="G115">
        <v>1864.4782643318199</v>
      </c>
      <c r="H115" s="18" t="s">
        <v>358</v>
      </c>
      <c r="I115" s="18"/>
      <c r="J115" s="18" t="s">
        <v>358</v>
      </c>
      <c r="K115" s="18"/>
      <c r="L115" s="18" t="s">
        <v>358</v>
      </c>
      <c r="M115" s="18" t="s">
        <v>358</v>
      </c>
    </row>
    <row r="116" spans="2:13">
      <c r="B116" t="s">
        <v>469</v>
      </c>
      <c r="C116" t="s">
        <v>396</v>
      </c>
      <c r="D116">
        <v>333.27276000380499</v>
      </c>
      <c r="G116">
        <v>846.92627763748203</v>
      </c>
      <c r="H116" s="18" t="s">
        <v>358</v>
      </c>
      <c r="I116" s="18"/>
      <c r="J116" s="18" t="s">
        <v>358</v>
      </c>
      <c r="K116" s="18"/>
      <c r="L116" s="18" t="s">
        <v>358</v>
      </c>
      <c r="M116" s="18" t="s">
        <v>358</v>
      </c>
    </row>
    <row r="117" spans="2:13">
      <c r="B117" t="s">
        <v>470</v>
      </c>
      <c r="C117" t="s">
        <v>441</v>
      </c>
      <c r="D117">
        <v>283.89082769304503</v>
      </c>
      <c r="G117">
        <v>926.24250829964899</v>
      </c>
      <c r="H117" s="18" t="s">
        <v>358</v>
      </c>
      <c r="I117" s="18"/>
      <c r="J117" s="18" t="s">
        <v>358</v>
      </c>
      <c r="K117" s="18"/>
      <c r="L117" s="18" t="s">
        <v>358</v>
      </c>
      <c r="M117" s="18" t="s">
        <v>358</v>
      </c>
    </row>
    <row r="118" spans="2:13">
      <c r="B118" t="s">
        <v>471</v>
      </c>
      <c r="C118" t="s">
        <v>396</v>
      </c>
      <c r="D118">
        <v>222.86337938904799</v>
      </c>
      <c r="G118">
        <v>1357.1720983386001</v>
      </c>
      <c r="H118" s="18" t="s">
        <v>358</v>
      </c>
      <c r="I118" s="18"/>
      <c r="J118" s="18" t="s">
        <v>358</v>
      </c>
      <c r="K118" s="18"/>
      <c r="L118" s="18" t="s">
        <v>358</v>
      </c>
      <c r="M118" s="18" t="s">
        <v>358</v>
      </c>
    </row>
    <row r="119" spans="2:13">
      <c r="B119" t="s">
        <v>472</v>
      </c>
      <c r="C119" t="s">
        <v>360</v>
      </c>
      <c r="D119">
        <v>200.52070379257199</v>
      </c>
      <c r="G119">
        <v>3673.3686375617999</v>
      </c>
      <c r="H119" s="18" t="s">
        <v>358</v>
      </c>
      <c r="I119" s="18"/>
      <c r="J119" s="18" t="s">
        <v>358</v>
      </c>
      <c r="K119" s="18"/>
      <c r="L119" s="18" t="s">
        <v>358</v>
      </c>
      <c r="M119" s="18" t="s">
        <v>358</v>
      </c>
    </row>
    <row r="120" spans="2:13">
      <c r="B120" t="s">
        <v>473</v>
      </c>
      <c r="C120" t="s">
        <v>449</v>
      </c>
      <c r="D120">
        <v>176.34661559387999</v>
      </c>
      <c r="G120">
        <v>2321.5035646131</v>
      </c>
      <c r="H120" s="18" t="s">
        <v>358</v>
      </c>
      <c r="I120" s="18"/>
      <c r="J120" s="18" t="s">
        <v>358</v>
      </c>
      <c r="K120" s="18"/>
      <c r="L120" s="18" t="s">
        <v>358</v>
      </c>
      <c r="M120" s="18" t="s">
        <v>358</v>
      </c>
    </row>
    <row r="121" spans="2:13">
      <c r="B121" t="s">
        <v>474</v>
      </c>
      <c r="C121" t="s">
        <v>441</v>
      </c>
      <c r="D121">
        <v>172.70759189128901</v>
      </c>
      <c r="G121">
        <v>4153.0529081448904</v>
      </c>
      <c r="H121" s="18" t="s">
        <v>358</v>
      </c>
      <c r="I121" s="18"/>
      <c r="J121" s="18" t="s">
        <v>358</v>
      </c>
      <c r="K121" s="18"/>
      <c r="L121" s="18" t="s">
        <v>358</v>
      </c>
      <c r="M121" s="18" t="s">
        <v>358</v>
      </c>
    </row>
    <row r="122" spans="2:13">
      <c r="B122" t="s">
        <v>475</v>
      </c>
      <c r="C122" t="s">
        <v>396</v>
      </c>
      <c r="D122">
        <v>153.11918216943701</v>
      </c>
      <c r="G122">
        <v>694.94299444556202</v>
      </c>
      <c r="H122" s="18" t="s">
        <v>358</v>
      </c>
      <c r="I122" s="18"/>
      <c r="J122" s="18" t="s">
        <v>358</v>
      </c>
      <c r="K122" s="18"/>
      <c r="L122" s="18" t="s">
        <v>358</v>
      </c>
      <c r="M122" s="18" t="s">
        <v>358</v>
      </c>
    </row>
    <row r="123" spans="2:13">
      <c r="B123" t="s">
        <v>476</v>
      </c>
      <c r="C123" t="s">
        <v>396</v>
      </c>
      <c r="D123">
        <v>136.762236893177</v>
      </c>
      <c r="G123">
        <v>1537.3256761729699</v>
      </c>
      <c r="H123" s="18" t="s">
        <v>358</v>
      </c>
      <c r="I123" s="18"/>
      <c r="J123" s="18" t="s">
        <v>358</v>
      </c>
      <c r="K123" s="18"/>
      <c r="L123" s="18" t="s">
        <v>358</v>
      </c>
      <c r="M123" s="18" t="s">
        <v>358</v>
      </c>
    </row>
    <row r="124" spans="2:13">
      <c r="B124" t="s">
        <v>477</v>
      </c>
      <c r="C124" t="s">
        <v>456</v>
      </c>
      <c r="D124">
        <v>128.49720150232301</v>
      </c>
      <c r="G124">
        <v>1277.52290189266</v>
      </c>
      <c r="H124" s="18" t="s">
        <v>358</v>
      </c>
      <c r="I124" s="18"/>
      <c r="J124" s="18" t="s">
        <v>358</v>
      </c>
      <c r="K124" s="18"/>
      <c r="L124" s="18" t="s">
        <v>358</v>
      </c>
      <c r="M124" s="18" t="s">
        <v>358</v>
      </c>
    </row>
    <row r="125" spans="2:13">
      <c r="B125" t="s">
        <v>478</v>
      </c>
      <c r="C125" t="s">
        <v>441</v>
      </c>
      <c r="D125">
        <v>90.874842032790198</v>
      </c>
      <c r="G125">
        <v>21.1889991313219</v>
      </c>
      <c r="H125" s="18" t="s">
        <v>358</v>
      </c>
      <c r="I125" s="18"/>
      <c r="J125" s="18" t="s">
        <v>358</v>
      </c>
      <c r="K125" s="18"/>
      <c r="L125" s="18" t="s">
        <v>358</v>
      </c>
      <c r="M125" s="18" t="s">
        <v>358</v>
      </c>
    </row>
    <row r="126" spans="2:13">
      <c r="B126" t="s">
        <v>479</v>
      </c>
      <c r="C126" t="s">
        <v>441</v>
      </c>
      <c r="D126">
        <v>87.243479713797598</v>
      </c>
      <c r="G126">
        <v>2441.6100040152701</v>
      </c>
      <c r="H126" s="18" t="s">
        <v>358</v>
      </c>
      <c r="I126" s="18"/>
      <c r="J126" s="18" t="s">
        <v>358</v>
      </c>
      <c r="K126" s="18"/>
      <c r="L126" s="18" t="s">
        <v>358</v>
      </c>
      <c r="M126" s="18" t="s">
        <v>358</v>
      </c>
    </row>
    <row r="127" spans="2:13">
      <c r="B127" t="s">
        <v>480</v>
      </c>
      <c r="C127" t="s">
        <v>441</v>
      </c>
      <c r="D127">
        <v>51.274835944175699</v>
      </c>
      <c r="G127">
        <v>823.67467959970202</v>
      </c>
      <c r="H127" s="18" t="s">
        <v>358</v>
      </c>
      <c r="I127" s="18"/>
      <c r="J127" s="18" t="s">
        <v>358</v>
      </c>
      <c r="K127" s="18"/>
      <c r="L127" s="18" t="s">
        <v>358</v>
      </c>
      <c r="M127" s="18" t="s">
        <v>358</v>
      </c>
    </row>
    <row r="128" spans="2:13">
      <c r="B128" t="s">
        <v>481</v>
      </c>
      <c r="C128" t="s">
        <v>456</v>
      </c>
      <c r="D128">
        <v>50.716991543769801</v>
      </c>
      <c r="G128">
        <v>2647.64509618282</v>
      </c>
      <c r="H128" s="18" t="s">
        <v>358</v>
      </c>
      <c r="I128" s="18"/>
      <c r="J128" s="18" t="s">
        <v>358</v>
      </c>
      <c r="K128" s="18"/>
      <c r="L128" s="18" t="s">
        <v>358</v>
      </c>
      <c r="M128" s="18" t="s">
        <v>358</v>
      </c>
    </row>
    <row r="129" spans="1:20">
      <c r="B129" t="s">
        <v>482</v>
      </c>
      <c r="C129" t="s">
        <v>441</v>
      </c>
      <c r="D129">
        <v>30.694090001285101</v>
      </c>
      <c r="G129">
        <v>2047.9884854480599</v>
      </c>
      <c r="H129" s="18" t="s">
        <v>358</v>
      </c>
      <c r="I129" s="18"/>
      <c r="J129" s="18" t="s">
        <v>358</v>
      </c>
      <c r="K129" s="18"/>
      <c r="L129" s="18" t="s">
        <v>358</v>
      </c>
      <c r="M129" s="18" t="s">
        <v>358</v>
      </c>
    </row>
    <row r="130" spans="1:20">
      <c r="B130" t="s">
        <v>483</v>
      </c>
      <c r="C130" t="s">
        <v>441</v>
      </c>
      <c r="D130">
        <v>13.0819827541709</v>
      </c>
      <c r="G130">
        <v>38.256402030587203</v>
      </c>
      <c r="H130" s="18" t="s">
        <v>358</v>
      </c>
      <c r="I130" s="18"/>
      <c r="J130" s="18" t="s">
        <v>358</v>
      </c>
      <c r="K130" s="18"/>
      <c r="L130" s="18" t="s">
        <v>358</v>
      </c>
      <c r="M130" s="18" t="s">
        <v>358</v>
      </c>
    </row>
    <row r="131" spans="1:20">
      <c r="B131" t="s">
        <v>484</v>
      </c>
      <c r="C131" t="s">
        <v>396</v>
      </c>
      <c r="D131">
        <v>4.5435959100723302</v>
      </c>
      <c r="G131">
        <v>8.4056524336338008</v>
      </c>
      <c r="H131" s="18" t="s">
        <v>358</v>
      </c>
      <c r="I131" s="18"/>
      <c r="J131" s="18" t="s">
        <v>358</v>
      </c>
      <c r="K131" s="18"/>
      <c r="L131" s="18" t="s">
        <v>358</v>
      </c>
      <c r="M131" s="18" t="s">
        <v>358</v>
      </c>
    </row>
    <row r="132" spans="1:20">
      <c r="B132" t="s">
        <v>485</v>
      </c>
      <c r="C132" t="s">
        <v>390</v>
      </c>
      <c r="D132" t="s">
        <v>358</v>
      </c>
      <c r="G132">
        <v>73629.016970280994</v>
      </c>
      <c r="H132" s="18" t="s">
        <v>358</v>
      </c>
      <c r="I132" s="18"/>
      <c r="J132" s="18" t="s">
        <v>358</v>
      </c>
      <c r="K132" s="18"/>
      <c r="L132" s="18" t="s">
        <v>358</v>
      </c>
      <c r="M132" s="18" t="s">
        <v>358</v>
      </c>
    </row>
    <row r="134" spans="1:20">
      <c r="B134" s="16" t="s">
        <v>486</v>
      </c>
    </row>
    <row r="138" spans="1:20">
      <c r="S138" t="s">
        <v>487</v>
      </c>
      <c r="T138" s="105" t="str">
        <f>"1-4"</f>
        <v>1-4</v>
      </c>
    </row>
    <row r="140" spans="1:20">
      <c r="A140" s="281"/>
      <c r="B140" s="281" t="s">
        <v>488</v>
      </c>
      <c r="C140" s="281" t="s">
        <v>489</v>
      </c>
      <c r="D140" s="281" t="s">
        <v>490</v>
      </c>
      <c r="E140" s="281" t="s">
        <v>491</v>
      </c>
      <c r="F140" s="281" t="s">
        <v>492</v>
      </c>
      <c r="G140" s="281" t="s">
        <v>493</v>
      </c>
      <c r="H140" s="281" t="s">
        <v>494</v>
      </c>
      <c r="I140" s="281" t="s">
        <v>1383</v>
      </c>
      <c r="J140" s="281" t="s">
        <v>495</v>
      </c>
      <c r="K140" s="281" t="s">
        <v>1383</v>
      </c>
      <c r="L140" s="281" t="s">
        <v>496</v>
      </c>
      <c r="M140" s="281" t="s">
        <v>497</v>
      </c>
      <c r="N140" s="281" t="s">
        <v>498</v>
      </c>
      <c r="O140" s="281" t="s">
        <v>499</v>
      </c>
      <c r="P140" s="281" t="s">
        <v>500</v>
      </c>
      <c r="Q140" s="281" t="s">
        <v>501</v>
      </c>
    </row>
    <row r="141" spans="1:20" ht="69" customHeight="1">
      <c r="A141" s="33"/>
      <c r="B141" s="33" t="s">
        <v>355</v>
      </c>
      <c r="C141" s="34">
        <v>-7.0966499999999995E-3</v>
      </c>
      <c r="D141" s="34"/>
      <c r="E141" s="35">
        <v>4751424131.25704</v>
      </c>
      <c r="F141" s="35">
        <v>4066458172.5721402</v>
      </c>
      <c r="G141" s="35">
        <v>88488807225.714996</v>
      </c>
      <c r="H141" s="38">
        <f>G141/E141</f>
        <v>18.623638888306175</v>
      </c>
      <c r="I141" s="38">
        <f>AVERAGE($H$141:$H$154)</f>
        <v>10.510332063304487</v>
      </c>
      <c r="J141" s="38">
        <f>G141/F141</f>
        <v>21.760658408480207</v>
      </c>
      <c r="K141" s="38">
        <f>AVERAGE($J$141:$J$154)</f>
        <v>14.372592695741677</v>
      </c>
      <c r="L141" s="35">
        <v>7730181148.8785696</v>
      </c>
      <c r="M141" s="33"/>
      <c r="N141" s="33" t="s">
        <v>502</v>
      </c>
      <c r="O141" s="33" t="s">
        <v>503</v>
      </c>
      <c r="P141" s="33" t="s">
        <v>504</v>
      </c>
      <c r="Q141" s="49"/>
      <c r="S141" s="46">
        <v>4</v>
      </c>
      <c r="T141" s="106" t="s">
        <v>505</v>
      </c>
    </row>
    <row r="142" spans="1:20" ht="80">
      <c r="A142" s="33"/>
      <c r="B142" s="33" t="s">
        <v>506</v>
      </c>
      <c r="C142" s="34">
        <v>2.4541799999999999E-2</v>
      </c>
      <c r="D142" s="34"/>
      <c r="E142" s="35">
        <v>2073459751.83635</v>
      </c>
      <c r="F142" s="35">
        <v>1724765250.5976901</v>
      </c>
      <c r="G142" s="35">
        <v>40530399291.256699</v>
      </c>
      <c r="H142" s="38">
        <f t="shared" ref="H142:H154" si="6">G142/E142</f>
        <v>19.547232231231465</v>
      </c>
      <c r="I142" s="38">
        <f t="shared" ref="I142:I154" si="7">AVERAGE($H$141:$H$154)</f>
        <v>10.510332063304487</v>
      </c>
      <c r="J142" s="38">
        <f t="shared" ref="J142:J154" si="8">G142/F142</f>
        <v>23.499081557453415</v>
      </c>
      <c r="K142" s="38">
        <f t="shared" ref="K142:K154" si="9">AVERAGE($J$141:$J$154)</f>
        <v>14.372592695741677</v>
      </c>
      <c r="L142" s="35">
        <v>3085989787.8600998</v>
      </c>
      <c r="M142" s="33"/>
      <c r="N142" s="33" t="s">
        <v>502</v>
      </c>
      <c r="O142" s="33" t="s">
        <v>503</v>
      </c>
      <c r="P142" s="33" t="s">
        <v>504</v>
      </c>
      <c r="Q142" s="49"/>
      <c r="S142" s="46">
        <v>3</v>
      </c>
      <c r="T142" s="106" t="s">
        <v>507</v>
      </c>
    </row>
    <row r="143" spans="1:20" ht="96">
      <c r="A143" s="33"/>
      <c r="B143" s="33" t="s">
        <v>508</v>
      </c>
      <c r="C143" s="34">
        <v>2.4541799999999999E-2</v>
      </c>
      <c r="D143" s="34"/>
      <c r="E143" s="35">
        <v>1168101336.91855</v>
      </c>
      <c r="F143" s="35">
        <v>1061534114.0401599</v>
      </c>
      <c r="G143" s="35">
        <v>15315489367.6234</v>
      </c>
      <c r="H143" s="38">
        <f t="shared" si="6"/>
        <v>13.111438951029406</v>
      </c>
      <c r="I143" s="38">
        <f t="shared" si="7"/>
        <v>10.510332063304487</v>
      </c>
      <c r="J143" s="38">
        <f t="shared" si="8"/>
        <v>14.427693999708788</v>
      </c>
      <c r="K143" s="38">
        <f t="shared" si="9"/>
        <v>14.372592695741677</v>
      </c>
      <c r="L143" s="35">
        <v>1674047210.02736</v>
      </c>
      <c r="M143" s="33"/>
      <c r="N143" s="33" t="s">
        <v>509</v>
      </c>
      <c r="O143" s="33" t="s">
        <v>510</v>
      </c>
      <c r="P143" s="33" t="s">
        <v>511</v>
      </c>
      <c r="Q143" s="49"/>
      <c r="S143" s="46">
        <v>2</v>
      </c>
      <c r="T143" s="106" t="s">
        <v>512</v>
      </c>
    </row>
    <row r="144" spans="1:20" ht="16">
      <c r="A144" s="33"/>
      <c r="B144" s="33" t="s">
        <v>513</v>
      </c>
      <c r="C144" s="34">
        <v>9.6684000000000006E-3</v>
      </c>
      <c r="D144" s="34"/>
      <c r="E144" s="35">
        <v>1055421601.2447701</v>
      </c>
      <c r="F144" s="35">
        <v>773443194.89949501</v>
      </c>
      <c r="G144" s="35">
        <v>9664355201.0727291</v>
      </c>
      <c r="H144" s="38">
        <f t="shared" si="6"/>
        <v>9.1568669711464459</v>
      </c>
      <c r="I144" s="38">
        <f t="shared" si="7"/>
        <v>10.510332063304487</v>
      </c>
      <c r="J144" s="38">
        <f t="shared" si="8"/>
        <v>12.495235933039094</v>
      </c>
      <c r="K144" s="38">
        <f t="shared" si="9"/>
        <v>14.372592695741677</v>
      </c>
      <c r="L144" s="35">
        <v>939270002.90951395</v>
      </c>
      <c r="M144" s="33"/>
      <c r="N144" s="33" t="s">
        <v>514</v>
      </c>
      <c r="O144" s="33" t="s">
        <v>515</v>
      </c>
      <c r="P144" s="33" t="s">
        <v>516</v>
      </c>
      <c r="Q144" s="49"/>
      <c r="S144" s="46">
        <v>2</v>
      </c>
      <c r="T144" s="106" t="s">
        <v>517</v>
      </c>
    </row>
    <row r="145" spans="1:20" ht="16">
      <c r="A145" s="33"/>
      <c r="B145" s="33" t="s">
        <v>518</v>
      </c>
      <c r="C145" s="34">
        <v>9.6684000000000006E-3</v>
      </c>
      <c r="D145" s="34"/>
      <c r="E145" s="35">
        <v>2755281147.7092299</v>
      </c>
      <c r="F145" s="35">
        <v>2246856611.9675498</v>
      </c>
      <c r="G145" s="35">
        <v>54375463923.447098</v>
      </c>
      <c r="H145" s="38">
        <f t="shared" si="6"/>
        <v>19.734996542423787</v>
      </c>
      <c r="I145" s="38">
        <f t="shared" si="7"/>
        <v>10.510332063304487</v>
      </c>
      <c r="J145" s="38">
        <f t="shared" si="8"/>
        <v>24.200682693245408</v>
      </c>
      <c r="K145" s="38">
        <f t="shared" si="9"/>
        <v>14.372592695741677</v>
      </c>
      <c r="L145" s="35">
        <v>1690484838.0092299</v>
      </c>
      <c r="M145" s="33"/>
      <c r="N145" s="33" t="s">
        <v>519</v>
      </c>
      <c r="O145" s="33" t="s">
        <v>510</v>
      </c>
      <c r="P145" s="33" t="s">
        <v>520</v>
      </c>
      <c r="Q145" s="49"/>
      <c r="S145" s="46">
        <v>1</v>
      </c>
      <c r="T145" s="106" t="s">
        <v>521</v>
      </c>
    </row>
    <row r="146" spans="1:20" ht="32">
      <c r="A146" s="33"/>
      <c r="B146" s="33" t="s">
        <v>522</v>
      </c>
      <c r="C146" s="34">
        <v>9.6684000000000006E-3</v>
      </c>
      <c r="D146" s="34"/>
      <c r="E146" s="35">
        <v>3264352245.2476201</v>
      </c>
      <c r="F146" s="35">
        <v>2542572985.45821</v>
      </c>
      <c r="G146" s="35">
        <v>26787688998.222698</v>
      </c>
      <c r="H146" s="38">
        <f t="shared" si="6"/>
        <v>8.2061269696679737</v>
      </c>
      <c r="I146" s="38">
        <f t="shared" si="7"/>
        <v>10.510332063304487</v>
      </c>
      <c r="J146" s="38">
        <f t="shared" si="8"/>
        <v>10.535661769172441</v>
      </c>
      <c r="K146" s="38">
        <f t="shared" si="9"/>
        <v>14.372592695741677</v>
      </c>
      <c r="L146" s="35">
        <v>-2028877408.7207301</v>
      </c>
      <c r="M146" s="33" t="s">
        <v>523</v>
      </c>
      <c r="N146" s="33" t="s">
        <v>509</v>
      </c>
      <c r="O146" s="33" t="s">
        <v>510</v>
      </c>
      <c r="P146" s="33" t="s">
        <v>511</v>
      </c>
      <c r="Q146" s="49"/>
      <c r="S146" s="46">
        <v>4</v>
      </c>
      <c r="T146" s="106" t="s">
        <v>524</v>
      </c>
    </row>
    <row r="147" spans="1:20" ht="32">
      <c r="A147" s="33"/>
      <c r="B147" s="33" t="s">
        <v>525</v>
      </c>
      <c r="C147" s="34">
        <v>9.6684000000000006E-3</v>
      </c>
      <c r="D147" s="34"/>
      <c r="E147" s="35">
        <v>2667536884.6250901</v>
      </c>
      <c r="F147" s="35">
        <v>2148471345.6197901</v>
      </c>
      <c r="G147" s="35">
        <v>15678039632.6422</v>
      </c>
      <c r="H147" s="38">
        <f>G147/E147</f>
        <v>5.8773468974340632</v>
      </c>
      <c r="I147" s="38">
        <f t="shared" si="7"/>
        <v>10.510332063304487</v>
      </c>
      <c r="J147" s="38">
        <f t="shared" si="8"/>
        <v>7.2972998521045698</v>
      </c>
      <c r="K147" s="38">
        <f t="shared" si="9"/>
        <v>14.372592695741677</v>
      </c>
      <c r="L147" s="35">
        <v>3555048813.4309502</v>
      </c>
      <c r="M147" s="33"/>
      <c r="N147" s="33" t="s">
        <v>509</v>
      </c>
      <c r="O147" s="33" t="s">
        <v>510</v>
      </c>
      <c r="P147" s="33" t="s">
        <v>511</v>
      </c>
      <c r="Q147" s="49"/>
      <c r="S147" s="46">
        <v>2</v>
      </c>
      <c r="T147" s="106" t="s">
        <v>526</v>
      </c>
    </row>
    <row r="148" spans="1:20" ht="16">
      <c r="A148" s="33"/>
      <c r="B148" s="33" t="s">
        <v>527</v>
      </c>
      <c r="C148" s="34">
        <v>9.6684000000000006E-3</v>
      </c>
      <c r="D148" s="34"/>
      <c r="E148" s="35">
        <v>1341893406.2957101</v>
      </c>
      <c r="F148" s="35">
        <v>937016248.50399494</v>
      </c>
      <c r="G148" s="35">
        <v>8123196399.9306402</v>
      </c>
      <c r="H148" s="38">
        <f t="shared" si="6"/>
        <v>6.05353328499816</v>
      </c>
      <c r="I148" s="38">
        <f t="shared" si="7"/>
        <v>10.510332063304487</v>
      </c>
      <c r="J148" s="38">
        <f t="shared" si="8"/>
        <v>8.6692161559629639</v>
      </c>
      <c r="K148" s="38">
        <f t="shared" si="9"/>
        <v>14.372592695741677</v>
      </c>
      <c r="L148" s="35">
        <v>2363359062.8268299</v>
      </c>
      <c r="M148" s="33" t="s">
        <v>523</v>
      </c>
      <c r="N148" s="33" t="s">
        <v>528</v>
      </c>
      <c r="O148" s="33" t="s">
        <v>510</v>
      </c>
      <c r="P148" s="33" t="s">
        <v>511</v>
      </c>
      <c r="Q148" s="49"/>
      <c r="S148" s="46">
        <v>3</v>
      </c>
      <c r="T148" s="106" t="s">
        <v>529</v>
      </c>
    </row>
    <row r="149" spans="1:20" ht="32">
      <c r="A149" s="33"/>
      <c r="B149" s="33" t="s">
        <v>530</v>
      </c>
      <c r="C149" s="34">
        <v>6.1386200000000002E-2</v>
      </c>
      <c r="D149" s="34"/>
      <c r="E149" s="35">
        <v>218062834.270962</v>
      </c>
      <c r="F149" s="35">
        <v>96028102.060881406</v>
      </c>
      <c r="G149" s="35">
        <v>1112265002.4749401</v>
      </c>
      <c r="H149" s="38">
        <f t="shared" si="6"/>
        <v>5.1006628717521583</v>
      </c>
      <c r="I149" s="38">
        <f t="shared" si="7"/>
        <v>10.510332063304487</v>
      </c>
      <c r="J149" s="38">
        <f t="shared" si="8"/>
        <v>11.582703173387399</v>
      </c>
      <c r="K149" s="38">
        <f t="shared" si="9"/>
        <v>14.372592695741677</v>
      </c>
      <c r="L149" s="35">
        <v>733529025.28575099</v>
      </c>
      <c r="M149" s="33" t="s">
        <v>531</v>
      </c>
      <c r="N149" s="33" t="s">
        <v>532</v>
      </c>
      <c r="O149" s="33" t="s">
        <v>503</v>
      </c>
      <c r="P149" s="33" t="s">
        <v>532</v>
      </c>
      <c r="Q149" s="49"/>
      <c r="S149" s="46">
        <v>2</v>
      </c>
      <c r="T149" s="106" t="s">
        <v>533</v>
      </c>
    </row>
    <row r="150" spans="1:20" ht="16">
      <c r="A150" s="33"/>
      <c r="B150" s="33" t="s">
        <v>534</v>
      </c>
      <c r="C150" s="34">
        <v>9.6684000000000006E-3</v>
      </c>
      <c r="D150" s="34"/>
      <c r="E150" s="35">
        <v>347202017.26311702</v>
      </c>
      <c r="F150" s="35">
        <v>148708499.013998</v>
      </c>
      <c r="G150" s="35">
        <v>1970176427.24002</v>
      </c>
      <c r="H150" s="38">
        <f t="shared" si="6"/>
        <v>5.6744383076178346</v>
      </c>
      <c r="I150" s="38">
        <f t="shared" si="7"/>
        <v>10.510332063304487</v>
      </c>
      <c r="J150" s="38">
        <f t="shared" si="8"/>
        <v>13.248579874742509</v>
      </c>
      <c r="K150" s="38">
        <f t="shared" si="9"/>
        <v>14.372592695741677</v>
      </c>
      <c r="L150" s="35">
        <v>704065899.70565104</v>
      </c>
      <c r="M150" s="33" t="s">
        <v>531</v>
      </c>
      <c r="N150" s="33" t="s">
        <v>535</v>
      </c>
      <c r="O150" s="33" t="s">
        <v>510</v>
      </c>
      <c r="P150" s="33" t="s">
        <v>511</v>
      </c>
      <c r="Q150" s="49"/>
      <c r="S150" s="46">
        <v>1</v>
      </c>
      <c r="T150" s="106" t="s">
        <v>536</v>
      </c>
    </row>
    <row r="151" spans="1:20" ht="16" hidden="1">
      <c r="A151" s="33"/>
      <c r="B151" s="33" t="s">
        <v>537</v>
      </c>
      <c r="C151" s="34">
        <v>2.4521600000000001E-2</v>
      </c>
      <c r="D151" s="34"/>
      <c r="E151" s="35">
        <v>389483722.74480897</v>
      </c>
      <c r="F151" s="35">
        <v>142073778.66400799</v>
      </c>
      <c r="G151" s="35"/>
      <c r="H151" s="38"/>
      <c r="I151" s="38">
        <f t="shared" si="7"/>
        <v>10.510332063304487</v>
      </c>
      <c r="J151" s="38"/>
      <c r="K151" s="38">
        <f t="shared" si="9"/>
        <v>14.372592695741677</v>
      </c>
      <c r="L151" s="35"/>
      <c r="M151" s="33" t="s">
        <v>523</v>
      </c>
      <c r="N151" s="33" t="s">
        <v>538</v>
      </c>
      <c r="O151" s="33" t="s">
        <v>515</v>
      </c>
      <c r="P151" s="33" t="s">
        <v>539</v>
      </c>
      <c r="Q151" s="49"/>
      <c r="S151" s="46">
        <v>2</v>
      </c>
      <c r="T151" s="106" t="s">
        <v>540</v>
      </c>
    </row>
    <row r="152" spans="1:20" ht="16">
      <c r="A152" s="33"/>
      <c r="B152" s="33" t="s">
        <v>541</v>
      </c>
      <c r="C152" s="34">
        <v>-0.20802810000000002</v>
      </c>
      <c r="D152" s="34"/>
      <c r="E152" s="35">
        <v>141273772.62779701</v>
      </c>
      <c r="F152" s="35">
        <v>106815068.75308301</v>
      </c>
      <c r="G152" s="35">
        <v>2191408710.8322501</v>
      </c>
      <c r="H152" s="38">
        <f t="shared" si="6"/>
        <v>15.511787291231924</v>
      </c>
      <c r="I152" s="38">
        <f t="shared" si="7"/>
        <v>10.510332063304487</v>
      </c>
      <c r="J152" s="38">
        <f t="shared" si="8"/>
        <v>20.515913498103696</v>
      </c>
      <c r="K152" s="38">
        <f t="shared" si="9"/>
        <v>14.372592695741677</v>
      </c>
      <c r="L152" s="35">
        <v>-290369824.54364902</v>
      </c>
      <c r="M152" s="33" t="s">
        <v>542</v>
      </c>
      <c r="N152" s="33" t="s">
        <v>543</v>
      </c>
      <c r="O152" s="33" t="s">
        <v>544</v>
      </c>
      <c r="P152" s="33" t="s">
        <v>545</v>
      </c>
      <c r="Q152" s="49"/>
      <c r="S152" s="46">
        <v>1</v>
      </c>
      <c r="T152" s="106" t="s">
        <v>546</v>
      </c>
    </row>
    <row r="153" spans="1:20" ht="16">
      <c r="A153" s="33"/>
      <c r="B153" s="33" t="s">
        <v>547</v>
      </c>
      <c r="C153" s="34">
        <v>9.6684000000000006E-3</v>
      </c>
      <c r="D153" s="34"/>
      <c r="E153" s="35">
        <v>160598411.890241</v>
      </c>
      <c r="F153" s="35">
        <v>102557915.057915</v>
      </c>
      <c r="G153" s="35">
        <v>785607035.60703599</v>
      </c>
      <c r="H153" s="38">
        <f t="shared" si="6"/>
        <v>4.8917484697417146</v>
      </c>
      <c r="I153" s="38">
        <f t="shared" si="7"/>
        <v>10.510332063304487</v>
      </c>
      <c r="J153" s="38">
        <f t="shared" si="8"/>
        <v>7.6601307189542567</v>
      </c>
      <c r="K153" s="38">
        <f t="shared" si="9"/>
        <v>14.372592695741677</v>
      </c>
      <c r="L153" s="35">
        <v>165701415.70141599</v>
      </c>
      <c r="M153" s="33" t="s">
        <v>523</v>
      </c>
      <c r="N153" s="33" t="s">
        <v>535</v>
      </c>
      <c r="O153" s="33" t="s">
        <v>510</v>
      </c>
      <c r="P153" s="33" t="s">
        <v>511</v>
      </c>
      <c r="Q153" s="49"/>
      <c r="S153" s="46">
        <v>1</v>
      </c>
      <c r="T153" s="106" t="s">
        <v>548</v>
      </c>
    </row>
    <row r="154" spans="1:20" ht="16">
      <c r="A154" s="33"/>
      <c r="B154" s="33" t="s">
        <v>549</v>
      </c>
      <c r="C154" s="34">
        <v>9.6684000000000006E-3</v>
      </c>
      <c r="D154" s="34"/>
      <c r="E154" s="35">
        <v>210273925.892248</v>
      </c>
      <c r="F154" s="35">
        <v>98782677.881336704</v>
      </c>
      <c r="G154" s="35">
        <v>1081754032.25806</v>
      </c>
      <c r="H154" s="38">
        <f t="shared" si="6"/>
        <v>5.1444991463772354</v>
      </c>
      <c r="I154" s="38">
        <f t="shared" si="7"/>
        <v>10.510332063304487</v>
      </c>
      <c r="J154" s="38">
        <f t="shared" si="8"/>
        <v>10.950847410287091</v>
      </c>
      <c r="K154" s="38">
        <f t="shared" si="9"/>
        <v>14.372592695741677</v>
      </c>
      <c r="L154" s="35">
        <v>-166162817.82132</v>
      </c>
      <c r="M154" s="33" t="s">
        <v>550</v>
      </c>
      <c r="N154" s="33" t="s">
        <v>535</v>
      </c>
      <c r="O154" s="33" t="s">
        <v>510</v>
      </c>
      <c r="P154" s="33" t="s">
        <v>511</v>
      </c>
      <c r="Q154" s="49"/>
      <c r="S154" s="46">
        <v>2</v>
      </c>
      <c r="T154" s="106" t="s">
        <v>551</v>
      </c>
    </row>
    <row r="155" spans="1:20" ht="32">
      <c r="A155" s="33"/>
      <c r="B155" s="33" t="s">
        <v>552</v>
      </c>
      <c r="C155" s="34">
        <v>9.6684000000000006E-3</v>
      </c>
      <c r="D155" s="34"/>
      <c r="E155" s="35"/>
      <c r="F155" s="35"/>
      <c r="G155" s="35"/>
      <c r="L155" s="35"/>
      <c r="M155" s="33" t="s">
        <v>523</v>
      </c>
      <c r="N155" s="33" t="s">
        <v>535</v>
      </c>
      <c r="O155" s="33" t="s">
        <v>510</v>
      </c>
      <c r="P155" s="33" t="s">
        <v>511</v>
      </c>
      <c r="Q155" s="49"/>
      <c r="S155" s="46">
        <v>1</v>
      </c>
      <c r="T155" s="106" t="s">
        <v>553</v>
      </c>
    </row>
    <row r="156" spans="1:20">
      <c r="A156" s="65"/>
      <c r="B156" s="69" t="s">
        <v>554</v>
      </c>
      <c r="C156" s="66"/>
      <c r="D156" s="66"/>
      <c r="E156" s="66"/>
      <c r="F156" s="66"/>
      <c r="G156" s="66"/>
      <c r="H156" s="67">
        <f>AVERAGE(H141:H154)-(H151)</f>
        <v>10.510332063304487</v>
      </c>
      <c r="I156" s="67"/>
      <c r="J156" s="67">
        <f>AVERAGE(J141:J154)-(J151)</f>
        <v>14.372592695741677</v>
      </c>
      <c r="K156" s="67"/>
      <c r="L156" s="67">
        <f>AVERAGE(L141:L154)-(L151)</f>
        <v>1550482088.7345903</v>
      </c>
      <c r="M156" s="66"/>
      <c r="N156" s="66"/>
      <c r="O156" s="66"/>
      <c r="P156" s="66"/>
      <c r="Q156" s="66"/>
      <c r="R156" s="68"/>
    </row>
    <row r="158" spans="1:20">
      <c r="B158" s="16" t="s">
        <v>555</v>
      </c>
    </row>
    <row r="160" spans="1:20" s="165" customFormat="1">
      <c r="A160" s="165" t="s">
        <v>13</v>
      </c>
      <c r="B160" s="143" t="s">
        <v>556</v>
      </c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</row>
    <row r="162" spans="2:17">
      <c r="B162" t="s">
        <v>557</v>
      </c>
      <c r="C162" s="64">
        <f>H156</f>
        <v>10.510332063304487</v>
      </c>
      <c r="F162" s="98"/>
      <c r="G162" s="98"/>
      <c r="H162" s="98"/>
      <c r="I162" s="98"/>
      <c r="J162" s="98"/>
      <c r="K162" s="98"/>
      <c r="L162" s="98"/>
      <c r="M162" s="98"/>
      <c r="N162" s="98"/>
      <c r="O162" s="98"/>
    </row>
    <row r="163" spans="2:17">
      <c r="B163" t="s">
        <v>558</v>
      </c>
      <c r="C163" s="24">
        <f>APV!K32</f>
        <v>20.36</v>
      </c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153"/>
    </row>
    <row r="164" spans="2:17" ht="16" thickBot="1">
      <c r="B164" s="150" t="s">
        <v>559</v>
      </c>
      <c r="C164" s="151">
        <f>C162*C163</f>
        <v>213.99036080887936</v>
      </c>
    </row>
    <row r="165" spans="2:17" ht="16" thickTop="1"/>
    <row r="166" spans="2:17">
      <c r="B166" t="s">
        <v>560</v>
      </c>
      <c r="C166" s="64">
        <f>J156</f>
        <v>14.372592695741677</v>
      </c>
      <c r="J166" s="98"/>
      <c r="K166" s="98"/>
      <c r="L166" s="98"/>
      <c r="M166" s="98"/>
      <c r="N166" s="98"/>
      <c r="O166" s="98"/>
    </row>
    <row r="167" spans="2:17">
      <c r="B167" t="s">
        <v>561</v>
      </c>
      <c r="C167" s="24">
        <f>APV!K33</f>
        <v>18.25</v>
      </c>
      <c r="J167" s="36"/>
      <c r="K167" s="36"/>
      <c r="L167" s="36"/>
      <c r="M167" s="36"/>
      <c r="N167" s="36"/>
      <c r="O167" s="36"/>
      <c r="P167" s="36"/>
      <c r="Q167" s="153"/>
    </row>
    <row r="168" spans="2:17" ht="16" thickBot="1">
      <c r="B168" s="150" t="s">
        <v>562</v>
      </c>
      <c r="C168" s="152">
        <f>C166*C167</f>
        <v>262.29981669728562</v>
      </c>
    </row>
    <row r="169" spans="2:17" ht="16" thickTop="1">
      <c r="B169" s="14"/>
      <c r="C169" s="14"/>
    </row>
    <row r="175" spans="2:17">
      <c r="B175" s="14"/>
    </row>
  </sheetData>
  <pageMargins left="0.7" right="0.7" top="0.75" bottom="0.75" header="0.3" footer="0.3"/>
  <pageSetup paperSize="9" orientation="portrait" horizontalDpi="0" verticalDpi="0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D5E16-D49F-4048-B398-E5EEAA5CF4F6}">
  <dimension ref="A1:O54"/>
  <sheetViews>
    <sheetView showGridLines="0" topLeftCell="A22" zoomScale="94" workbookViewId="0">
      <selection activeCell="Q51" sqref="Q51"/>
    </sheetView>
  </sheetViews>
  <sheetFormatPr baseColWidth="10" defaultColWidth="11.5" defaultRowHeight="15"/>
  <cols>
    <col min="1" max="1" width="2.6640625" customWidth="1"/>
    <col min="2" max="2" width="38.33203125" customWidth="1"/>
    <col min="3" max="3" width="21" bestFit="1" customWidth="1"/>
    <col min="5" max="5" width="26.33203125" bestFit="1" customWidth="1"/>
    <col min="6" max="6" width="12.5" bestFit="1" customWidth="1"/>
    <col min="7" max="7" width="5.6640625" customWidth="1"/>
    <col min="9" max="9" width="5.6640625" customWidth="1"/>
    <col min="11" max="11" width="25" customWidth="1"/>
  </cols>
  <sheetData>
    <row r="1" spans="1:15" ht="5" customHeight="1"/>
    <row r="2" spans="1:15" s="2" customFormat="1" ht="22">
      <c r="B2" s="2" t="s">
        <v>563</v>
      </c>
    </row>
    <row r="4" spans="1:15">
      <c r="A4" s="108" t="s">
        <v>13</v>
      </c>
      <c r="B4" s="167" t="s">
        <v>564</v>
      </c>
      <c r="C4" s="168"/>
      <c r="D4" s="168"/>
      <c r="E4" s="168"/>
      <c r="F4" s="168"/>
      <c r="H4" s="168" t="s">
        <v>1338</v>
      </c>
      <c r="I4" s="168"/>
      <c r="J4" s="168"/>
      <c r="K4" s="168"/>
      <c r="L4" s="168"/>
      <c r="M4" s="168"/>
      <c r="N4" s="168"/>
      <c r="O4" s="168"/>
    </row>
    <row r="5" spans="1:15">
      <c r="H5" s="291" t="s">
        <v>565</v>
      </c>
      <c r="I5" s="291"/>
    </row>
    <row r="6" spans="1:15" ht="16" thickBot="1">
      <c r="B6" s="150" t="s">
        <v>566</v>
      </c>
      <c r="C6" s="227"/>
      <c r="E6" s="216" t="s">
        <v>567</v>
      </c>
      <c r="F6" s="217"/>
    </row>
    <row r="7" spans="1:15" ht="16" thickTop="1">
      <c r="B7" t="s">
        <v>568</v>
      </c>
      <c r="C7" s="24">
        <f>F16</f>
        <v>5.5789167034970637</v>
      </c>
      <c r="E7" s="213"/>
      <c r="F7" s="215"/>
      <c r="H7" s="108"/>
      <c r="I7" s="290" t="s">
        <v>569</v>
      </c>
      <c r="J7" s="290"/>
      <c r="K7" s="290"/>
      <c r="L7" s="290"/>
      <c r="M7" s="290"/>
      <c r="N7" s="290"/>
      <c r="O7" s="290"/>
    </row>
    <row r="8" spans="1:15">
      <c r="B8" t="s">
        <v>570</v>
      </c>
      <c r="C8" s="18">
        <v>0.01</v>
      </c>
      <c r="E8" s="218" t="s">
        <v>571</v>
      </c>
      <c r="F8" s="219" t="s">
        <v>572</v>
      </c>
      <c r="H8" s="292"/>
      <c r="I8" s="205">
        <f>C21</f>
        <v>4.7375244204845348</v>
      </c>
      <c r="J8" s="207">
        <v>5.0000000000000001E-3</v>
      </c>
      <c r="K8" s="207">
        <v>7.4999999999999997E-3</v>
      </c>
      <c r="L8" s="207">
        <v>0.01</v>
      </c>
      <c r="M8" s="207">
        <v>1.4999999999999999E-2</v>
      </c>
      <c r="N8" s="207">
        <v>0.02</v>
      </c>
      <c r="O8" s="207">
        <v>0.03</v>
      </c>
    </row>
    <row r="9" spans="1:15">
      <c r="B9" t="s">
        <v>573</v>
      </c>
      <c r="C9" s="36">
        <f>'Peer Group'!D21</f>
        <v>0.34272727272727271</v>
      </c>
      <c r="E9" s="213" t="s">
        <v>571</v>
      </c>
      <c r="F9" s="215">
        <f>F11-F10</f>
        <v>11</v>
      </c>
      <c r="H9" s="293"/>
      <c r="I9" s="208">
        <f>I10-1</f>
        <v>3.58</v>
      </c>
      <c r="J9" s="206">
        <f t="dataTable" ref="J9:O13" dt2D="1" dtr="1" r1="C8" r2="C7"/>
        <v>3.0407837041190948</v>
      </c>
      <c r="K9" s="206">
        <v>3.0395372254213013</v>
      </c>
      <c r="L9" s="206">
        <v>3.0382907467235167</v>
      </c>
      <c r="M9" s="206">
        <v>3.0357977893282269</v>
      </c>
      <c r="N9" s="206">
        <v>3.033304831935371</v>
      </c>
      <c r="O9" s="206">
        <v>3.0283189172061031</v>
      </c>
    </row>
    <row r="10" spans="1:15" ht="16" thickBot="1">
      <c r="B10" t="s">
        <v>574</v>
      </c>
      <c r="C10" s="30">
        <f>'DCM rates'!C20</f>
        <v>7.9199999999999993E-2</v>
      </c>
      <c r="E10" s="220" t="s">
        <v>575</v>
      </c>
      <c r="F10" s="221">
        <v>1.94</v>
      </c>
      <c r="H10" s="293"/>
      <c r="I10" s="209">
        <f>I11-1</f>
        <v>4.58</v>
      </c>
      <c r="J10" s="206">
        <v>3.8908609838717996</v>
      </c>
      <c r="K10" s="206">
        <v>3.8896145051740061</v>
      </c>
      <c r="L10" s="206">
        <v>3.888368026476213</v>
      </c>
      <c r="M10" s="206">
        <v>3.8858750690806745</v>
      </c>
      <c r="N10" s="206">
        <v>3.8833821116855853</v>
      </c>
      <c r="O10" s="206">
        <v>3.8783961969070915</v>
      </c>
    </row>
    <row r="11" spans="1:15" ht="16" thickTop="1">
      <c r="B11" t="s">
        <v>576</v>
      </c>
      <c r="C11" s="36">
        <f>LN(1+C10)</f>
        <v>7.6220025911409015E-2</v>
      </c>
      <c r="E11" s="213" t="s">
        <v>73</v>
      </c>
      <c r="F11" s="215">
        <v>12.94</v>
      </c>
      <c r="H11" s="293"/>
      <c r="I11" s="209">
        <v>5.58</v>
      </c>
      <c r="J11" s="206">
        <v>4.7409382636245043</v>
      </c>
      <c r="K11" s="206">
        <v>4.7396917849267108</v>
      </c>
      <c r="L11" s="231">
        <v>4.7384453062289165</v>
      </c>
      <c r="M11" s="206">
        <v>4.7359523488333393</v>
      </c>
      <c r="N11" s="206">
        <v>4.7334593914378731</v>
      </c>
      <c r="O11" s="206">
        <v>4.7284734766500751</v>
      </c>
    </row>
    <row r="12" spans="1:15" ht="16" thickBot="1">
      <c r="B12" s="211" t="s">
        <v>577</v>
      </c>
      <c r="C12" s="211">
        <v>7</v>
      </c>
      <c r="E12" s="213"/>
      <c r="F12" s="215"/>
      <c r="H12" s="293"/>
      <c r="I12" s="209">
        <f>I11+1</f>
        <v>6.58</v>
      </c>
      <c r="J12" s="206">
        <v>5.5910155433772095</v>
      </c>
      <c r="K12" s="206">
        <v>5.589769064679416</v>
      </c>
      <c r="L12" s="206">
        <v>5.5885225859816217</v>
      </c>
      <c r="M12" s="206">
        <v>5.5860296285860356</v>
      </c>
      <c r="N12" s="206">
        <v>5.5835366711904832</v>
      </c>
      <c r="O12" s="206">
        <v>5.5785507564003884</v>
      </c>
    </row>
    <row r="13" spans="1:15" ht="16" thickTop="1">
      <c r="E13" s="222" t="s">
        <v>578</v>
      </c>
      <c r="F13" s="223"/>
      <c r="H13" s="293"/>
      <c r="I13" s="210">
        <f>I12+1</f>
        <v>7.58</v>
      </c>
      <c r="J13" s="206">
        <v>6.4410928231299138</v>
      </c>
      <c r="K13" s="206">
        <v>6.4398463444321195</v>
      </c>
      <c r="L13" s="206">
        <v>6.438599865734326</v>
      </c>
      <c r="M13" s="206">
        <v>6.436106908338739</v>
      </c>
      <c r="N13" s="206">
        <v>6.4336139509431636</v>
      </c>
      <c r="O13" s="206">
        <v>6.4286280361523831</v>
      </c>
    </row>
    <row r="14" spans="1:15">
      <c r="B14" t="s">
        <v>579</v>
      </c>
      <c r="C14" s="24">
        <f>(LN(C7/C8)+(C11+(C9^2)/2)*C12)/(C9*SQRT(C12))</f>
        <v>8.0161594013688902</v>
      </c>
      <c r="E14" s="213" t="s">
        <v>580</v>
      </c>
      <c r="F14" s="224">
        <f>APV!C78</f>
        <v>72.191182143252007</v>
      </c>
    </row>
    <row r="15" spans="1:15">
      <c r="B15" t="s">
        <v>581</v>
      </c>
      <c r="C15" s="24">
        <f>C14-C9*SQRT(C12)</f>
        <v>7.1093882702131168</v>
      </c>
      <c r="E15" s="213" t="s">
        <v>73</v>
      </c>
      <c r="F15" s="214">
        <f>F11</f>
        <v>12.94</v>
      </c>
    </row>
    <row r="16" spans="1:15" ht="16" thickBot="1">
      <c r="B16" t="s">
        <v>582</v>
      </c>
      <c r="C16" s="24">
        <f>_xlfn.NORM.S.DIST(C14,TRUE)</f>
        <v>0.99999999999999944</v>
      </c>
      <c r="E16" s="225" t="s">
        <v>583</v>
      </c>
      <c r="F16" s="226">
        <f>F14/F15</f>
        <v>5.5789167034970637</v>
      </c>
    </row>
    <row r="17" spans="1:15" ht="17" thickTop="1" thickBot="1">
      <c r="B17" s="211" t="s">
        <v>584</v>
      </c>
      <c r="C17" s="212">
        <f>_xlfn.NORM.S.DIST(C15, TRUE)</f>
        <v>0.99999999999941724</v>
      </c>
      <c r="F17" s="24"/>
    </row>
    <row r="18" spans="1:15" ht="16" thickTop="1">
      <c r="C18" s="24"/>
      <c r="F18" s="24"/>
    </row>
    <row r="19" spans="1:15">
      <c r="B19" t="s">
        <v>585</v>
      </c>
      <c r="C19" s="24">
        <f>(C7*C16)-(C8*2.71828182845904^(-C11*C12)*C17)</f>
        <v>5.5730514546427159</v>
      </c>
    </row>
    <row r="20" spans="1:15">
      <c r="B20" t="s">
        <v>586</v>
      </c>
      <c r="C20" s="24">
        <f>C19*(1-F9/(F9+F10))</f>
        <v>0.83552703415818108</v>
      </c>
      <c r="J20" s="178"/>
      <c r="K20" s="178"/>
      <c r="L20" s="178"/>
      <c r="M20" s="178"/>
      <c r="N20" s="178"/>
      <c r="O20" s="178"/>
    </row>
    <row r="21" spans="1:15">
      <c r="B21" t="s">
        <v>587</v>
      </c>
      <c r="C21" s="24">
        <f>C19-C20</f>
        <v>4.7375244204845348</v>
      </c>
      <c r="J21" s="178"/>
      <c r="K21" s="178"/>
      <c r="L21" s="178"/>
      <c r="M21" s="178"/>
      <c r="N21" s="178"/>
      <c r="O21" s="178"/>
    </row>
    <row r="22" spans="1:15">
      <c r="B22" s="90" t="s">
        <v>588</v>
      </c>
      <c r="C22" s="104">
        <f>F11</f>
        <v>12.94</v>
      </c>
      <c r="J22" s="178"/>
      <c r="K22" s="178"/>
      <c r="L22" s="178"/>
      <c r="M22" s="178"/>
      <c r="N22" s="178"/>
      <c r="O22" s="178"/>
    </row>
    <row r="23" spans="1:15">
      <c r="B23" t="s">
        <v>589</v>
      </c>
      <c r="C23" s="24">
        <f>C21*C22</f>
        <v>61.303566001069875</v>
      </c>
      <c r="J23" s="178"/>
      <c r="K23" s="178"/>
      <c r="L23" s="178"/>
      <c r="M23" s="178"/>
      <c r="N23" s="178"/>
      <c r="O23" s="178"/>
    </row>
    <row r="24" spans="1:15">
      <c r="B24" t="s">
        <v>1368</v>
      </c>
      <c r="C24" s="24">
        <f>C21*F10</f>
        <v>9.1907973757399972</v>
      </c>
      <c r="J24" s="178"/>
      <c r="K24" s="178"/>
      <c r="L24" s="178"/>
      <c r="M24" s="178"/>
      <c r="N24" s="178"/>
      <c r="O24" s="178"/>
    </row>
    <row r="25" spans="1:15" ht="16" thickBot="1">
      <c r="B25" s="211" t="s">
        <v>590</v>
      </c>
      <c r="C25" s="211">
        <v>0</v>
      </c>
    </row>
    <row r="26" spans="1:15" ht="16" thickTop="1"/>
    <row r="28" spans="1:15">
      <c r="A28" s="108" t="s">
        <v>13</v>
      </c>
      <c r="B28" s="167" t="s">
        <v>1350</v>
      </c>
      <c r="C28" s="168"/>
      <c r="D28" s="168"/>
      <c r="E28" s="168"/>
      <c r="F28" s="168"/>
      <c r="G28" s="76"/>
      <c r="H28" s="167" t="s">
        <v>1350</v>
      </c>
      <c r="I28" s="168"/>
      <c r="J28" s="168"/>
      <c r="K28" s="168"/>
      <c r="L28" s="168"/>
      <c r="M28" s="168"/>
    </row>
    <row r="30" spans="1:15">
      <c r="B30" t="s">
        <v>566</v>
      </c>
      <c r="E30" s="5" t="s">
        <v>567</v>
      </c>
      <c r="F30" s="5"/>
      <c r="H30" s="14" t="s">
        <v>566</v>
      </c>
      <c r="K30" s="5" t="s">
        <v>567</v>
      </c>
      <c r="L30" s="5"/>
    </row>
    <row r="31" spans="1:15">
      <c r="B31" t="s">
        <v>568</v>
      </c>
      <c r="C31" s="24" t="e">
        <f ca="1">F45</f>
        <v>#NUM!</v>
      </c>
      <c r="H31" t="s">
        <v>568</v>
      </c>
      <c r="I31" s="24">
        <f>L45</f>
        <v>6.3285303047335404</v>
      </c>
    </row>
    <row r="32" spans="1:15">
      <c r="B32" t="s">
        <v>570</v>
      </c>
      <c r="C32">
        <v>0.01</v>
      </c>
      <c r="E32" s="3" t="s">
        <v>571</v>
      </c>
      <c r="F32" s="11" t="s">
        <v>572</v>
      </c>
      <c r="H32" t="s">
        <v>570</v>
      </c>
      <c r="I32" s="18">
        <f>C8</f>
        <v>0.01</v>
      </c>
      <c r="K32" s="3" t="s">
        <v>571</v>
      </c>
      <c r="L32" s="11" t="s">
        <v>572</v>
      </c>
    </row>
    <row r="33" spans="2:12">
      <c r="B33" t="s">
        <v>573</v>
      </c>
      <c r="C33" s="36">
        <f>'Peer Group'!D21</f>
        <v>0.34272727272727271</v>
      </c>
      <c r="E33" t="s">
        <v>571</v>
      </c>
      <c r="F33">
        <v>11</v>
      </c>
      <c r="H33" t="s">
        <v>573</v>
      </c>
      <c r="I33" s="18">
        <f>C9</f>
        <v>0.34272727272727271</v>
      </c>
      <c r="K33" t="s">
        <v>571</v>
      </c>
      <c r="L33">
        <f>L35-L34</f>
        <v>11</v>
      </c>
    </row>
    <row r="34" spans="2:12" ht="16" thickBot="1">
      <c r="B34" t="s">
        <v>574</v>
      </c>
      <c r="C34" s="36">
        <f>'Debt items'!C5+'Debt items'!E14</f>
        <v>0.1</v>
      </c>
      <c r="E34" s="12" t="s">
        <v>575</v>
      </c>
      <c r="F34" s="12">
        <v>1.94</v>
      </c>
      <c r="H34" t="s">
        <v>574</v>
      </c>
      <c r="I34" s="18">
        <f>C10</f>
        <v>7.9199999999999993E-2</v>
      </c>
      <c r="K34" s="12" t="s">
        <v>575</v>
      </c>
      <c r="L34" s="12">
        <v>1.94</v>
      </c>
    </row>
    <row r="35" spans="2:12" ht="16" thickTop="1">
      <c r="B35" t="s">
        <v>576</v>
      </c>
      <c r="C35" s="36">
        <f>LN(1+C34)</f>
        <v>9.5310179804324935E-2</v>
      </c>
      <c r="E35" t="s">
        <v>73</v>
      </c>
      <c r="F35">
        <v>12.94</v>
      </c>
      <c r="H35" t="s">
        <v>576</v>
      </c>
      <c r="I35" s="18">
        <f>C11</f>
        <v>7.6220025911409015E-2</v>
      </c>
      <c r="K35" t="s">
        <v>73</v>
      </c>
      <c r="L35">
        <v>12.94</v>
      </c>
    </row>
    <row r="36" spans="2:12">
      <c r="B36" t="s">
        <v>577</v>
      </c>
      <c r="C36">
        <v>8</v>
      </c>
      <c r="H36" t="s">
        <v>577</v>
      </c>
      <c r="I36" s="18">
        <f>C12</f>
        <v>7</v>
      </c>
    </row>
    <row r="37" spans="2:12">
      <c r="E37" s="5" t="s">
        <v>578</v>
      </c>
      <c r="F37" s="3"/>
      <c r="K37" s="5" t="s">
        <v>578</v>
      </c>
      <c r="L37" s="3"/>
    </row>
    <row r="38" spans="2:12">
      <c r="B38" t="s">
        <v>579</v>
      </c>
      <c r="C38" s="24" t="e">
        <f ca="1">(LN(C31/C32)+(C35+(C33^2)/2)*C36)/(C33*SQRT(C36))</f>
        <v>#NUM!</v>
      </c>
      <c r="E38" t="s">
        <v>74</v>
      </c>
      <c r="F38" s="19">
        <v>10</v>
      </c>
      <c r="H38" t="s">
        <v>579</v>
      </c>
      <c r="I38" s="24">
        <f>(LN(I31/I32)+(I35+(I33^2)/2)*I36)/(I33*SQRT(I36))</f>
        <v>8.1551949387079112</v>
      </c>
      <c r="K38" t="s">
        <v>580</v>
      </c>
      <c r="L38" s="19">
        <f>APV!C78</f>
        <v>72.191182143252007</v>
      </c>
    </row>
    <row r="39" spans="2:12">
      <c r="B39" t="s">
        <v>581</v>
      </c>
      <c r="C39" s="24" t="e">
        <f ca="1">C38-C33*SQRT(C36)</f>
        <v>#NUM!</v>
      </c>
      <c r="E39" t="s">
        <v>571</v>
      </c>
      <c r="F39">
        <v>11</v>
      </c>
      <c r="H39" t="s">
        <v>581</v>
      </c>
      <c r="I39" s="24">
        <f>I38-I33*SQRT(I36)</f>
        <v>7.2484238075521379</v>
      </c>
      <c r="K39" s="13" t="s">
        <v>594</v>
      </c>
      <c r="L39" s="24">
        <v>5</v>
      </c>
    </row>
    <row r="40" spans="2:12">
      <c r="B40" t="s">
        <v>582</v>
      </c>
      <c r="C40" s="24" t="e">
        <f ca="1">_xlfn.NORM.S.DIST(C38,TRUE)</f>
        <v>#NUM!</v>
      </c>
      <c r="E40" t="s">
        <v>591</v>
      </c>
      <c r="F40" s="24">
        <f ca="1">C44</f>
        <v>8.2772496597962668</v>
      </c>
      <c r="H40" t="s">
        <v>582</v>
      </c>
      <c r="I40" s="24">
        <f>_xlfn.NORM.S.DIST(I38,TRUE)</f>
        <v>0.99999999999999978</v>
      </c>
      <c r="K40" s="13" t="s">
        <v>575</v>
      </c>
      <c r="L40">
        <f>L34</f>
        <v>1.94</v>
      </c>
    </row>
    <row r="41" spans="2:12" ht="16" thickBot="1">
      <c r="B41" t="s">
        <v>584</v>
      </c>
      <c r="C41" s="24" t="e">
        <f ca="1">_xlfn.NORM.S.DIST(C39, TRUE)</f>
        <v>#NUM!</v>
      </c>
      <c r="E41" s="12" t="s">
        <v>575</v>
      </c>
      <c r="F41" s="12">
        <f>F34</f>
        <v>1.94</v>
      </c>
      <c r="H41" t="s">
        <v>584</v>
      </c>
      <c r="I41" s="24">
        <f>_xlfn.NORM.S.DIST(I39, TRUE)</f>
        <v>0.99999999999978917</v>
      </c>
      <c r="K41" s="12" t="s">
        <v>595</v>
      </c>
      <c r="L41" s="48">
        <f>L39*L40</f>
        <v>9.6999999999999993</v>
      </c>
    </row>
    <row r="42" spans="2:12" ht="16" thickTop="1">
      <c r="C42" s="24"/>
      <c r="E42" t="s">
        <v>592</v>
      </c>
      <c r="F42" s="24">
        <f ca="1">F38*F39+F40*F41</f>
        <v>126.05786434000476</v>
      </c>
      <c r="I42" s="24"/>
      <c r="K42" t="s">
        <v>596</v>
      </c>
      <c r="L42" s="24">
        <f>L38+L41</f>
        <v>81.89118214325201</v>
      </c>
    </row>
    <row r="43" spans="2:12">
      <c r="B43" t="s">
        <v>585</v>
      </c>
      <c r="C43" s="24" t="e">
        <f ca="1">(C31*C40)-(C32*EXP(-C35*C36)*C41)</f>
        <v>#NUM!</v>
      </c>
      <c r="H43" t="s">
        <v>585</v>
      </c>
      <c r="I43" s="24">
        <f>(I31*I40)-(I32*2.71828182845904^(-I35*I36)*I41)</f>
        <v>6.3226650558791917</v>
      </c>
    </row>
    <row r="44" spans="2:12">
      <c r="B44" t="s">
        <v>593</v>
      </c>
      <c r="C44" s="24" t="e">
        <f ca="1">F39/(F39+F41)*C43</f>
        <v>#NUM!</v>
      </c>
      <c r="E44" s="90" t="s">
        <v>73</v>
      </c>
      <c r="F44" s="101">
        <v>12.94</v>
      </c>
      <c r="H44" t="s">
        <v>586</v>
      </c>
      <c r="I44" s="24">
        <f>I43*(1-L33/(L33+L34))</f>
        <v>0.94791114438992474</v>
      </c>
      <c r="K44" t="s">
        <v>73</v>
      </c>
      <c r="L44" s="18">
        <f>L35</f>
        <v>12.94</v>
      </c>
    </row>
    <row r="45" spans="2:12">
      <c r="E45" s="102" t="s">
        <v>583</v>
      </c>
      <c r="F45" s="103">
        <f ca="1">F42/F44</f>
        <v>9.7417205826897035</v>
      </c>
      <c r="H45" t="s">
        <v>587</v>
      </c>
      <c r="I45" s="24">
        <f>I43-I44</f>
        <v>5.3747539114892673</v>
      </c>
      <c r="K45" s="22" t="s">
        <v>583</v>
      </c>
      <c r="L45" s="43">
        <f>L42/L44</f>
        <v>6.3285303047335404</v>
      </c>
    </row>
    <row r="46" spans="2:12">
      <c r="H46" s="90" t="s">
        <v>588</v>
      </c>
      <c r="I46" s="104">
        <f>L35</f>
        <v>12.94</v>
      </c>
    </row>
    <row r="47" spans="2:12">
      <c r="H47" t="s">
        <v>589</v>
      </c>
      <c r="I47" s="24">
        <f>I45*I46</f>
        <v>69.549315614671116</v>
      </c>
    </row>
    <row r="48" spans="2:12">
      <c r="F48" s="24"/>
    </row>
    <row r="49" spans="2:9">
      <c r="B49" t="s">
        <v>586</v>
      </c>
      <c r="C49" s="24" t="e">
        <f ca="1">C43*0.15</f>
        <v>#NUM!</v>
      </c>
      <c r="H49" t="s">
        <v>590</v>
      </c>
      <c r="I49">
        <v>0</v>
      </c>
    </row>
    <row r="50" spans="2:9">
      <c r="B50" t="s">
        <v>587</v>
      </c>
      <c r="C50" s="24" t="e">
        <f ca="1">C43-C49</f>
        <v>#NUM!</v>
      </c>
    </row>
    <row r="51" spans="2:9">
      <c r="B51" t="s">
        <v>588</v>
      </c>
      <c r="C51" s="24">
        <f>F41</f>
        <v>1.94</v>
      </c>
    </row>
    <row r="52" spans="2:9">
      <c r="B52" t="s">
        <v>589</v>
      </c>
      <c r="C52" s="24" t="e">
        <f ca="1">C50*C51</f>
        <v>#NUM!</v>
      </c>
    </row>
    <row r="53" spans="2:9">
      <c r="C53" s="24"/>
    </row>
    <row r="54" spans="2:9">
      <c r="B54" t="s">
        <v>590</v>
      </c>
      <c r="C54" s="24">
        <v>0</v>
      </c>
    </row>
  </sheetData>
  <mergeCells count="3">
    <mergeCell ref="I7:O7"/>
    <mergeCell ref="H5:I5"/>
    <mergeCell ref="H8:H13"/>
  </mergeCells>
  <conditionalFormatting sqref="J9:O13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horizontalDpi="0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8755B-86E8-46B7-A099-C740984AC8B5}">
  <sheetPr>
    <tabColor theme="5"/>
  </sheetPr>
  <dimension ref="A1"/>
  <sheetViews>
    <sheetView showGridLines="0" view="pageBreakPreview" zoomScaleNormal="100" workbookViewId="0">
      <selection activeCell="L29" sqref="L29"/>
    </sheetView>
  </sheetViews>
  <sheetFormatPr baseColWidth="10" defaultColWidth="8.6640625" defaultRowHeight="15"/>
  <sheetData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0152E-2ACB-46F3-91CB-F9995E833AD9}">
  <dimension ref="A1:N46"/>
  <sheetViews>
    <sheetView showGridLines="0" topLeftCell="A3" workbookViewId="0">
      <selection activeCell="N21" sqref="N21"/>
    </sheetView>
  </sheetViews>
  <sheetFormatPr baseColWidth="10" defaultColWidth="8.6640625" defaultRowHeight="15"/>
  <cols>
    <col min="1" max="1" width="37.33203125" bestFit="1" customWidth="1"/>
  </cols>
  <sheetData>
    <row r="1" spans="1:12">
      <c r="A1" t="s">
        <v>597</v>
      </c>
      <c r="E1">
        <v>0.28314606741573023</v>
      </c>
      <c r="F1">
        <v>0.27845884413309974</v>
      </c>
      <c r="G1">
        <v>0.15684931506849331</v>
      </c>
      <c r="H1">
        <v>8.0521018354055673E-2</v>
      </c>
      <c r="I1">
        <v>8.0000000000000071E-2</v>
      </c>
      <c r="J1">
        <v>8.0162354134956759E-2</v>
      </c>
      <c r="K1">
        <v>8.0319398778769369E-2</v>
      </c>
      <c r="L1">
        <v>8.0434782608695743E-2</v>
      </c>
    </row>
    <row r="2" spans="1:12">
      <c r="A2" t="s">
        <v>598</v>
      </c>
    </row>
    <row r="3" spans="1:12">
      <c r="A3" t="s">
        <v>599</v>
      </c>
    </row>
    <row r="4" spans="1:12">
      <c r="A4" t="s">
        <v>600</v>
      </c>
    </row>
    <row r="5" spans="1:12">
      <c r="A5" t="s">
        <v>601</v>
      </c>
    </row>
    <row r="7" spans="1:12">
      <c r="B7" t="s">
        <v>602</v>
      </c>
      <c r="E7" t="s">
        <v>603</v>
      </c>
    </row>
    <row r="8" spans="1:12">
      <c r="B8">
        <v>1988</v>
      </c>
      <c r="C8">
        <v>1989</v>
      </c>
      <c r="D8">
        <v>1990</v>
      </c>
      <c r="E8">
        <v>1991</v>
      </c>
      <c r="F8">
        <v>1992</v>
      </c>
      <c r="G8">
        <v>1993</v>
      </c>
      <c r="H8">
        <v>1994</v>
      </c>
      <c r="I8">
        <v>1995</v>
      </c>
      <c r="J8">
        <v>1996</v>
      </c>
      <c r="K8">
        <v>1997</v>
      </c>
      <c r="L8">
        <v>1998</v>
      </c>
    </row>
    <row r="10" spans="1:12">
      <c r="A10" t="s">
        <v>41</v>
      </c>
      <c r="B10">
        <v>7.6</v>
      </c>
      <c r="C10">
        <v>9.5</v>
      </c>
      <c r="D10">
        <v>8.9</v>
      </c>
      <c r="E10">
        <v>11.42</v>
      </c>
      <c r="F10">
        <v>14.6</v>
      </c>
      <c r="G10">
        <v>16.89</v>
      </c>
      <c r="H10">
        <v>18.25</v>
      </c>
      <c r="I10">
        <v>19.71</v>
      </c>
      <c r="J10">
        <v>21.29</v>
      </c>
      <c r="K10">
        <v>23</v>
      </c>
      <c r="L10">
        <v>24.85</v>
      </c>
    </row>
    <row r="11" spans="1:12">
      <c r="A11" t="s">
        <v>141</v>
      </c>
    </row>
    <row r="12" spans="1:12">
      <c r="A12" t="s">
        <v>142</v>
      </c>
      <c r="B12" t="s">
        <v>143</v>
      </c>
      <c r="C12" t="s">
        <v>143</v>
      </c>
      <c r="D12" t="s">
        <v>143</v>
      </c>
      <c r="E12" s="80">
        <v>1</v>
      </c>
      <c r="F12">
        <v>0.03</v>
      </c>
      <c r="G12">
        <v>0.03</v>
      </c>
      <c r="H12">
        <v>0.03</v>
      </c>
      <c r="I12">
        <v>0.03</v>
      </c>
      <c r="J12">
        <v>0.03</v>
      </c>
      <c r="K12">
        <v>0.03</v>
      </c>
      <c r="L12">
        <v>0.04</v>
      </c>
    </row>
    <row r="13" spans="1:12">
      <c r="A13" t="s">
        <v>144</v>
      </c>
      <c r="B13" t="s">
        <v>143</v>
      </c>
      <c r="C13" t="s">
        <v>143</v>
      </c>
      <c r="D13" t="s">
        <v>143</v>
      </c>
      <c r="E13">
        <v>0.17</v>
      </c>
      <c r="F13">
        <v>0.17</v>
      </c>
      <c r="G13">
        <v>0.17</v>
      </c>
      <c r="H13">
        <v>0.17</v>
      </c>
      <c r="I13">
        <v>0.17</v>
      </c>
      <c r="J13">
        <v>0.17</v>
      </c>
      <c r="K13">
        <v>0.17</v>
      </c>
      <c r="L13">
        <v>0.17</v>
      </c>
    </row>
    <row r="14" spans="1:12">
      <c r="A14" t="s">
        <v>145</v>
      </c>
      <c r="B14" t="s">
        <v>143</v>
      </c>
      <c r="C14" t="s">
        <v>143</v>
      </c>
      <c r="D14" t="s">
        <v>143</v>
      </c>
      <c r="E14">
        <v>1.69</v>
      </c>
      <c r="F14">
        <v>3.2</v>
      </c>
      <c r="G14">
        <v>2.83</v>
      </c>
      <c r="H14">
        <v>2.38</v>
      </c>
      <c r="I14">
        <v>1.87</v>
      </c>
      <c r="J14">
        <v>1.25</v>
      </c>
      <c r="K14">
        <v>0.52</v>
      </c>
      <c r="L14">
        <v>0</v>
      </c>
    </row>
    <row r="15" spans="1:12">
      <c r="A15" t="s">
        <v>146</v>
      </c>
      <c r="B15" t="s">
        <v>143</v>
      </c>
      <c r="C15" t="s">
        <v>143</v>
      </c>
      <c r="D15" t="s">
        <v>143</v>
      </c>
      <c r="E15">
        <v>0.99</v>
      </c>
      <c r="F15">
        <v>1.99</v>
      </c>
      <c r="G15">
        <v>1.99</v>
      </c>
      <c r="H15">
        <v>1.99</v>
      </c>
      <c r="I15">
        <v>1.99</v>
      </c>
      <c r="J15">
        <v>1.99</v>
      </c>
      <c r="K15">
        <v>1.99</v>
      </c>
      <c r="L15">
        <v>1.99</v>
      </c>
    </row>
    <row r="16" spans="1:12">
      <c r="A16" t="s">
        <v>147</v>
      </c>
      <c r="B16" t="s">
        <v>143</v>
      </c>
      <c r="C16" t="s">
        <v>143</v>
      </c>
      <c r="D16" t="s">
        <v>143</v>
      </c>
      <c r="E16">
        <v>0.47</v>
      </c>
      <c r="F16">
        <v>0.94</v>
      </c>
      <c r="G16">
        <v>0.94</v>
      </c>
      <c r="H16">
        <v>0.94</v>
      </c>
      <c r="I16">
        <v>0.94</v>
      </c>
      <c r="J16">
        <v>0.94</v>
      </c>
      <c r="K16">
        <v>0.94</v>
      </c>
      <c r="L16">
        <v>0.94</v>
      </c>
    </row>
    <row r="17" spans="1:14">
      <c r="A17" t="s">
        <v>148</v>
      </c>
      <c r="B17" t="s">
        <v>143</v>
      </c>
      <c r="C17" t="s">
        <v>143</v>
      </c>
      <c r="D17" t="s">
        <v>143</v>
      </c>
      <c r="E17">
        <v>-4.3199999999999994</v>
      </c>
      <c r="F17">
        <v>-6.33</v>
      </c>
      <c r="G17">
        <v>-5.9600000000000009</v>
      </c>
      <c r="H17">
        <v>-5.51</v>
      </c>
      <c r="I17">
        <v>-5</v>
      </c>
      <c r="J17">
        <v>-4.38</v>
      </c>
      <c r="K17">
        <v>-3.65</v>
      </c>
      <c r="L17">
        <v>-3.14</v>
      </c>
    </row>
    <row r="19" spans="1:14">
      <c r="A19" t="s">
        <v>149</v>
      </c>
      <c r="B19" t="s">
        <v>143</v>
      </c>
      <c r="C19" t="s">
        <v>143</v>
      </c>
      <c r="D19" t="s">
        <v>143</v>
      </c>
      <c r="E19">
        <v>0.32</v>
      </c>
      <c r="F19">
        <v>0</v>
      </c>
      <c r="G19">
        <v>0.13</v>
      </c>
      <c r="H19">
        <v>0.25</v>
      </c>
      <c r="I19">
        <v>0.38</v>
      </c>
      <c r="J19">
        <v>0.55000000000000004</v>
      </c>
      <c r="K19">
        <v>0.74</v>
      </c>
      <c r="L19">
        <v>1.06</v>
      </c>
      <c r="N19">
        <v>0.32</v>
      </c>
    </row>
    <row r="20" spans="1:14">
      <c r="A20" t="s">
        <v>150</v>
      </c>
      <c r="B20" t="s">
        <v>143</v>
      </c>
      <c r="C20" t="s">
        <v>143</v>
      </c>
      <c r="D20" t="s">
        <v>143</v>
      </c>
      <c r="E20">
        <v>-1.82</v>
      </c>
      <c r="F20">
        <v>-2.5299999999999998</v>
      </c>
      <c r="G20">
        <v>-3.38</v>
      </c>
      <c r="H20">
        <v>-3.95</v>
      </c>
      <c r="I20">
        <v>-4.58</v>
      </c>
      <c r="J20">
        <v>-5.29</v>
      </c>
      <c r="K20">
        <v>-6.08</v>
      </c>
      <c r="L20">
        <v>-6.89</v>
      </c>
      <c r="N20">
        <f>0.09</f>
        <v>0.09</v>
      </c>
    </row>
    <row r="21" spans="1:14">
      <c r="A21" t="s">
        <v>151</v>
      </c>
      <c r="B21" t="s">
        <v>143</v>
      </c>
      <c r="C21" t="s">
        <v>143</v>
      </c>
      <c r="D21" t="s">
        <v>143</v>
      </c>
      <c r="E21">
        <v>5.6000000000000005</v>
      </c>
      <c r="F21">
        <v>5.74</v>
      </c>
      <c r="G21">
        <v>7.6800000000000006</v>
      </c>
      <c r="H21">
        <v>9.0399999999999991</v>
      </c>
      <c r="I21">
        <v>10.510000000000002</v>
      </c>
      <c r="J21">
        <v>12.170000000000002</v>
      </c>
      <c r="K21">
        <v>14.01</v>
      </c>
      <c r="L21">
        <v>15.879999999999999</v>
      </c>
      <c r="N21">
        <f>N19/N20</f>
        <v>3.5555555555555558</v>
      </c>
    </row>
    <row r="23" spans="1:14">
      <c r="A23" t="s">
        <v>604</v>
      </c>
      <c r="B23">
        <v>0</v>
      </c>
      <c r="C23">
        <v>1.3</v>
      </c>
      <c r="D23">
        <v>2</v>
      </c>
      <c r="E23">
        <v>1.9</v>
      </c>
      <c r="F23">
        <v>1.98</v>
      </c>
      <c r="G23">
        <v>2.0099999999999998</v>
      </c>
      <c r="H23">
        <v>2.11</v>
      </c>
      <c r="I23">
        <v>2.2200000000000002</v>
      </c>
      <c r="J23">
        <v>2.2200000000000002</v>
      </c>
      <c r="K23">
        <v>2.2200000000000002</v>
      </c>
      <c r="L23">
        <v>2.2200000000000002</v>
      </c>
    </row>
    <row r="24" spans="1:14">
      <c r="A24" t="s">
        <v>605</v>
      </c>
      <c r="B24">
        <v>-0.1</v>
      </c>
      <c r="C24">
        <v>0</v>
      </c>
      <c r="D24">
        <v>0.7</v>
      </c>
      <c r="E24">
        <v>-0.25</v>
      </c>
      <c r="F24">
        <v>-0.19</v>
      </c>
      <c r="G24">
        <v>-0.2</v>
      </c>
      <c r="H24">
        <v>-0.2</v>
      </c>
      <c r="I24">
        <v>0</v>
      </c>
      <c r="J24">
        <v>0</v>
      </c>
      <c r="K24">
        <v>0</v>
      </c>
      <c r="L24">
        <v>0</v>
      </c>
    </row>
    <row r="25" spans="1:14">
      <c r="A25" t="s">
        <v>606</v>
      </c>
      <c r="B25">
        <v>0</v>
      </c>
      <c r="C25">
        <v>0</v>
      </c>
      <c r="D25">
        <v>0</v>
      </c>
      <c r="E25">
        <v>-2.69</v>
      </c>
      <c r="F25">
        <v>-1.4</v>
      </c>
      <c r="G25">
        <v>-2.64</v>
      </c>
      <c r="H25">
        <v>-2.77</v>
      </c>
      <c r="I25">
        <v>-2.91</v>
      </c>
      <c r="J25">
        <v>-2.91</v>
      </c>
      <c r="K25">
        <v>-2.91</v>
      </c>
      <c r="L25">
        <v>-2.91</v>
      </c>
    </row>
    <row r="26" spans="1:14">
      <c r="A26" t="s">
        <v>607</v>
      </c>
      <c r="B26">
        <v>1.8</v>
      </c>
      <c r="C26">
        <v>0.7</v>
      </c>
      <c r="D26">
        <v>-6.4</v>
      </c>
      <c r="E26">
        <v>-0.02</v>
      </c>
      <c r="F26">
        <v>-2.2400000000000002</v>
      </c>
      <c r="G26">
        <v>-2.73</v>
      </c>
      <c r="H26">
        <v>-2.95</v>
      </c>
      <c r="I26">
        <v>-3.19</v>
      </c>
      <c r="J26">
        <v>-3.44</v>
      </c>
      <c r="K26">
        <v>-3.72</v>
      </c>
      <c r="L26">
        <v>-4.0199999999999996</v>
      </c>
    </row>
    <row r="27" spans="1:14">
      <c r="A27" t="s">
        <v>608</v>
      </c>
      <c r="B27">
        <v>0.3</v>
      </c>
      <c r="C27">
        <v>0</v>
      </c>
      <c r="D27">
        <v>-1.2</v>
      </c>
      <c r="E27">
        <v>0.17</v>
      </c>
      <c r="F27">
        <v>-0.23</v>
      </c>
      <c r="G27">
        <v>-0.32</v>
      </c>
      <c r="H27">
        <v>-0.4</v>
      </c>
      <c r="I27">
        <v>-0.43</v>
      </c>
      <c r="J27">
        <v>-0.46</v>
      </c>
      <c r="K27">
        <v>-0.5</v>
      </c>
      <c r="L27">
        <v>-0.54</v>
      </c>
    </row>
    <row r="28" spans="1:14">
      <c r="A28" t="s">
        <v>609</v>
      </c>
      <c r="B28">
        <v>0</v>
      </c>
      <c r="C28">
        <v>-1.2</v>
      </c>
      <c r="D28">
        <v>-0.8</v>
      </c>
      <c r="E28">
        <v>0.4</v>
      </c>
      <c r="F28">
        <v>-0.12</v>
      </c>
      <c r="G28">
        <v>-0.14000000000000001</v>
      </c>
      <c r="H28">
        <v>-0.15</v>
      </c>
      <c r="I28">
        <v>-0.16</v>
      </c>
      <c r="J28">
        <v>-0.18</v>
      </c>
      <c r="K28">
        <v>-0.19</v>
      </c>
      <c r="L28">
        <v>-0.21</v>
      </c>
    </row>
    <row r="29" spans="1:14">
      <c r="A29" t="s">
        <v>610</v>
      </c>
      <c r="B29">
        <v>0.5</v>
      </c>
      <c r="C29">
        <v>0.8</v>
      </c>
      <c r="D29">
        <v>-10.8</v>
      </c>
      <c r="E29">
        <v>0.18</v>
      </c>
      <c r="F29">
        <v>0.8</v>
      </c>
      <c r="G29">
        <v>1.1499999999999999</v>
      </c>
      <c r="H29">
        <v>1.41</v>
      </c>
      <c r="I29">
        <v>1.52</v>
      </c>
      <c r="J29">
        <v>1.64</v>
      </c>
      <c r="K29">
        <v>1.77</v>
      </c>
      <c r="L29">
        <v>1.91</v>
      </c>
    </row>
    <row r="30" spans="1:14">
      <c r="A30" t="s">
        <v>611</v>
      </c>
      <c r="B30">
        <v>0</v>
      </c>
      <c r="C30">
        <v>0</v>
      </c>
      <c r="D30">
        <v>1.3</v>
      </c>
      <c r="E30">
        <v>0.45</v>
      </c>
      <c r="F30">
        <v>0.56999999999999995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</row>
    <row r="31" spans="1:14">
      <c r="A31" t="s">
        <v>612</v>
      </c>
      <c r="B31">
        <v>0</v>
      </c>
      <c r="C31">
        <v>0</v>
      </c>
      <c r="D31">
        <v>11.3</v>
      </c>
      <c r="E31">
        <v>-1.33</v>
      </c>
      <c r="F31">
        <v>0.7</v>
      </c>
      <c r="G31">
        <v>0.85</v>
      </c>
      <c r="H31">
        <v>0.92</v>
      </c>
      <c r="I31">
        <v>0.99</v>
      </c>
      <c r="J31">
        <v>1.07</v>
      </c>
      <c r="K31">
        <v>1.1599999999999999</v>
      </c>
      <c r="L31">
        <v>1.25</v>
      </c>
    </row>
    <row r="32" spans="1:14">
      <c r="A32" t="s">
        <v>613</v>
      </c>
      <c r="B32">
        <v>0</v>
      </c>
      <c r="C32">
        <v>0</v>
      </c>
      <c r="D32">
        <v>0</v>
      </c>
      <c r="E32">
        <v>0.47</v>
      </c>
      <c r="F32">
        <v>0.94</v>
      </c>
      <c r="G32">
        <v>0.47</v>
      </c>
      <c r="H32">
        <v>0</v>
      </c>
      <c r="I32">
        <v>0</v>
      </c>
      <c r="J32">
        <v>0</v>
      </c>
      <c r="K32">
        <v>0</v>
      </c>
      <c r="L32">
        <v>0</v>
      </c>
    </row>
    <row r="33" spans="1:12">
      <c r="A33" t="s">
        <v>614</v>
      </c>
      <c r="B33" t="s">
        <v>143</v>
      </c>
      <c r="C33" t="s">
        <v>143</v>
      </c>
      <c r="D33" t="s">
        <v>143</v>
      </c>
      <c r="E33">
        <v>4.8800000000000008</v>
      </c>
      <c r="F33">
        <v>6.55</v>
      </c>
      <c r="G33">
        <v>6.13</v>
      </c>
      <c r="H33">
        <v>7.009999999999998</v>
      </c>
      <c r="I33">
        <v>8.5500000000000025</v>
      </c>
      <c r="J33">
        <v>10.110000000000003</v>
      </c>
      <c r="K33">
        <v>11.84</v>
      </c>
      <c r="L33">
        <v>13.58</v>
      </c>
    </row>
    <row r="35" spans="1:12">
      <c r="A35" t="s">
        <v>615</v>
      </c>
    </row>
    <row r="36" spans="1:12">
      <c r="A36" t="s">
        <v>195</v>
      </c>
      <c r="B36" t="s">
        <v>143</v>
      </c>
      <c r="C36" t="s">
        <v>143</v>
      </c>
      <c r="D36" t="s">
        <v>143</v>
      </c>
      <c r="E36">
        <v>2</v>
      </c>
      <c r="F36">
        <v>4</v>
      </c>
      <c r="G36">
        <v>4</v>
      </c>
      <c r="H36">
        <v>4.5</v>
      </c>
      <c r="I36">
        <v>5.5</v>
      </c>
      <c r="J36">
        <v>6.5</v>
      </c>
      <c r="K36">
        <v>5.5</v>
      </c>
      <c r="L36">
        <v>0</v>
      </c>
    </row>
    <row r="37" spans="1:12">
      <c r="A37" t="s">
        <v>196</v>
      </c>
      <c r="B37" t="s">
        <v>143</v>
      </c>
      <c r="C37" t="s">
        <v>143</v>
      </c>
      <c r="D37" t="s">
        <v>143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15</v>
      </c>
    </row>
    <row r="38" spans="1:12">
      <c r="A38" t="s">
        <v>197</v>
      </c>
      <c r="B38" t="s">
        <v>143</v>
      </c>
      <c r="C38" t="s">
        <v>143</v>
      </c>
      <c r="D38" t="s">
        <v>143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</row>
    <row r="39" spans="1:12">
      <c r="A39" t="s">
        <v>198</v>
      </c>
      <c r="B39" t="s">
        <v>143</v>
      </c>
      <c r="C39" t="s">
        <v>143</v>
      </c>
      <c r="D39" t="s">
        <v>143</v>
      </c>
      <c r="E39">
        <v>2</v>
      </c>
      <c r="F39">
        <v>4</v>
      </c>
      <c r="G39">
        <v>4</v>
      </c>
      <c r="H39">
        <v>4.5</v>
      </c>
      <c r="I39">
        <v>5.5</v>
      </c>
      <c r="J39">
        <v>6.5</v>
      </c>
      <c r="K39">
        <v>5.5</v>
      </c>
      <c r="L39">
        <v>15</v>
      </c>
    </row>
    <row r="41" spans="1:12">
      <c r="A41" t="s">
        <v>199</v>
      </c>
      <c r="B41" t="s">
        <v>143</v>
      </c>
      <c r="C41" t="s">
        <v>143</v>
      </c>
      <c r="D41" t="s">
        <v>143</v>
      </c>
      <c r="E41">
        <v>-1.7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</row>
    <row r="43" spans="1:12">
      <c r="A43" t="s">
        <v>616</v>
      </c>
      <c r="B43">
        <v>10.100000000000001</v>
      </c>
      <c r="C43">
        <v>11.100000000000001</v>
      </c>
      <c r="D43">
        <v>4.9999999999999991</v>
      </c>
      <c r="E43">
        <v>4.580000000000001</v>
      </c>
      <c r="F43">
        <v>2.5499999999999998</v>
      </c>
      <c r="G43">
        <v>2.13</v>
      </c>
      <c r="H43">
        <v>2.509999999999998</v>
      </c>
      <c r="I43">
        <v>3.0500000000000025</v>
      </c>
      <c r="J43">
        <v>3.610000000000003</v>
      </c>
      <c r="K43">
        <v>6.34</v>
      </c>
      <c r="L43">
        <v>-1.42</v>
      </c>
    </row>
    <row r="44" spans="1:12">
      <c r="A44" t="s">
        <v>617</v>
      </c>
    </row>
    <row r="46" spans="1:12">
      <c r="A46" t="s">
        <v>618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9A502-837D-4F46-8DE5-4BAB576C8E9B}">
  <dimension ref="A2:L37"/>
  <sheetViews>
    <sheetView showGridLines="0" topLeftCell="A3" workbookViewId="0">
      <selection activeCell="E25" sqref="E25"/>
    </sheetView>
  </sheetViews>
  <sheetFormatPr baseColWidth="10" defaultColWidth="8.6640625" defaultRowHeight="15"/>
  <cols>
    <col min="1" max="1" width="30.5" customWidth="1"/>
  </cols>
  <sheetData>
    <row r="2" spans="1:12">
      <c r="A2" t="s">
        <v>619</v>
      </c>
    </row>
    <row r="3" spans="1:12">
      <c r="A3" t="s">
        <v>599</v>
      </c>
    </row>
    <row r="4" spans="1:12">
      <c r="A4" t="s">
        <v>620</v>
      </c>
    </row>
    <row r="5" spans="1:12">
      <c r="A5" t="s">
        <v>601</v>
      </c>
    </row>
    <row r="7" spans="1:12">
      <c r="B7" t="s">
        <v>621</v>
      </c>
      <c r="D7" t="s">
        <v>118</v>
      </c>
    </row>
    <row r="8" spans="1:12">
      <c r="B8" t="s">
        <v>622</v>
      </c>
      <c r="D8" t="s">
        <v>623</v>
      </c>
    </row>
    <row r="9" spans="1:12">
      <c r="B9" t="s">
        <v>624</v>
      </c>
      <c r="C9" t="s">
        <v>625</v>
      </c>
      <c r="D9" t="s">
        <v>624</v>
      </c>
      <c r="E9">
        <v>1991</v>
      </c>
      <c r="F9">
        <v>1992</v>
      </c>
      <c r="G9">
        <v>1993</v>
      </c>
      <c r="H9">
        <v>1994</v>
      </c>
      <c r="I9">
        <v>1995</v>
      </c>
      <c r="J9">
        <v>1996</v>
      </c>
      <c r="K9">
        <v>1997</v>
      </c>
      <c r="L9">
        <v>1998</v>
      </c>
    </row>
    <row r="10" spans="1:12">
      <c r="A10" t="s">
        <v>626</v>
      </c>
    </row>
    <row r="11" spans="1:12">
      <c r="A11" t="s">
        <v>121</v>
      </c>
      <c r="B11">
        <v>11.04</v>
      </c>
      <c r="C11">
        <v>-4.47</v>
      </c>
      <c r="D11">
        <v>6.5699999999999994</v>
      </c>
      <c r="E11">
        <v>11.3</v>
      </c>
      <c r="F11">
        <v>14.370000000000001</v>
      </c>
      <c r="G11">
        <v>17.690000000000001</v>
      </c>
      <c r="H11">
        <v>21.369999999999997</v>
      </c>
      <c r="I11">
        <v>25.69</v>
      </c>
      <c r="J11">
        <v>30.670000000000005</v>
      </c>
      <c r="K11">
        <v>38.490000000000009</v>
      </c>
      <c r="L11">
        <v>38.680000000000007</v>
      </c>
    </row>
    <row r="12" spans="1:12">
      <c r="A12" t="s">
        <v>122</v>
      </c>
      <c r="B12">
        <v>7.71</v>
      </c>
      <c r="D12">
        <v>7.71</v>
      </c>
      <c r="E12">
        <v>10.4</v>
      </c>
      <c r="F12">
        <v>11.8</v>
      </c>
      <c r="G12">
        <v>14.440000000000001</v>
      </c>
      <c r="H12">
        <v>17.21</v>
      </c>
      <c r="I12">
        <v>20.12</v>
      </c>
      <c r="J12">
        <v>23.03</v>
      </c>
      <c r="K12">
        <v>25.94</v>
      </c>
      <c r="L12">
        <v>28.85</v>
      </c>
    </row>
    <row r="13" spans="1:12">
      <c r="A13" t="s">
        <v>123</v>
      </c>
      <c r="B13">
        <v>0</v>
      </c>
      <c r="D13">
        <v>0</v>
      </c>
      <c r="E13">
        <v>1.9</v>
      </c>
      <c r="F13">
        <v>3.88</v>
      </c>
      <c r="G13">
        <v>5.89</v>
      </c>
      <c r="H13">
        <v>8</v>
      </c>
      <c r="I13">
        <v>10.220000000000001</v>
      </c>
      <c r="J13">
        <v>12.440000000000001</v>
      </c>
      <c r="K13">
        <v>14.660000000000002</v>
      </c>
      <c r="L13">
        <v>16.880000000000003</v>
      </c>
    </row>
    <row r="14" spans="1:12">
      <c r="A14" t="s">
        <v>124</v>
      </c>
      <c r="B14">
        <v>7.71</v>
      </c>
      <c r="D14">
        <v>7.71</v>
      </c>
      <c r="E14">
        <v>8.5</v>
      </c>
      <c r="F14">
        <v>7.9200000000000008</v>
      </c>
      <c r="G14">
        <v>8.5500000000000007</v>
      </c>
      <c r="H14">
        <v>9.2100000000000009</v>
      </c>
      <c r="I14">
        <v>9.9</v>
      </c>
      <c r="J14">
        <v>10.59</v>
      </c>
      <c r="K14">
        <v>11.28</v>
      </c>
      <c r="L14">
        <v>11.969999999999999</v>
      </c>
    </row>
    <row r="15" spans="1:12">
      <c r="A15" t="s">
        <v>125</v>
      </c>
      <c r="B15">
        <v>2.42</v>
      </c>
      <c r="D15">
        <v>2.42</v>
      </c>
      <c r="E15">
        <v>2.42</v>
      </c>
      <c r="F15">
        <v>2.42</v>
      </c>
      <c r="G15">
        <v>2.42</v>
      </c>
      <c r="H15">
        <v>2.42</v>
      </c>
      <c r="I15">
        <v>2.42</v>
      </c>
      <c r="J15">
        <v>2.42</v>
      </c>
      <c r="K15">
        <v>2.42</v>
      </c>
      <c r="L15">
        <v>2.42</v>
      </c>
    </row>
    <row r="16" spans="1:12">
      <c r="A16" t="s">
        <v>126</v>
      </c>
      <c r="B16">
        <v>0</v>
      </c>
      <c r="C16">
        <v>45.93</v>
      </c>
      <c r="D16">
        <v>45.93</v>
      </c>
      <c r="E16">
        <v>45.93</v>
      </c>
      <c r="F16">
        <v>45.93</v>
      </c>
      <c r="G16">
        <v>45.93</v>
      </c>
      <c r="H16">
        <v>45.93</v>
      </c>
      <c r="I16">
        <v>45.93</v>
      </c>
      <c r="J16">
        <v>45.93</v>
      </c>
      <c r="K16">
        <v>45.93</v>
      </c>
      <c r="L16">
        <v>45.93</v>
      </c>
    </row>
    <row r="17" spans="1:12">
      <c r="A17" t="s">
        <v>127</v>
      </c>
      <c r="B17">
        <v>0</v>
      </c>
      <c r="C17">
        <v>7.5</v>
      </c>
      <c r="D17">
        <v>7.5</v>
      </c>
      <c r="E17">
        <v>7.5</v>
      </c>
      <c r="F17">
        <v>7.5</v>
      </c>
      <c r="G17">
        <v>7.5</v>
      </c>
      <c r="H17">
        <v>7.5</v>
      </c>
      <c r="I17">
        <v>7.5</v>
      </c>
      <c r="J17">
        <v>7.5</v>
      </c>
      <c r="K17">
        <v>7.5</v>
      </c>
      <c r="L17">
        <v>7.5</v>
      </c>
    </row>
    <row r="18" spans="1:12">
      <c r="A18" t="s">
        <v>128</v>
      </c>
      <c r="B18">
        <v>21.17</v>
      </c>
      <c r="C18">
        <v>48.96</v>
      </c>
      <c r="D18">
        <v>70.13</v>
      </c>
      <c r="E18">
        <v>75.650000000000006</v>
      </c>
      <c r="F18">
        <v>78.14</v>
      </c>
      <c r="G18">
        <v>82.09</v>
      </c>
      <c r="H18">
        <v>86.43</v>
      </c>
      <c r="I18">
        <v>91.44</v>
      </c>
      <c r="J18">
        <v>97.110000000000014</v>
      </c>
      <c r="K18">
        <v>105.62</v>
      </c>
      <c r="L18">
        <v>106.5</v>
      </c>
    </row>
    <row r="20" spans="1:12">
      <c r="A20" t="s">
        <v>627</v>
      </c>
    </row>
    <row r="21" spans="1:12">
      <c r="A21" t="s">
        <v>130</v>
      </c>
      <c r="B21">
        <v>0.28999999999999998</v>
      </c>
      <c r="D21">
        <v>0.28999999999999998</v>
      </c>
      <c r="E21">
        <v>0.28999999999999998</v>
      </c>
      <c r="F21">
        <v>0.28999999999999998</v>
      </c>
      <c r="G21">
        <v>0.28999999999999998</v>
      </c>
      <c r="H21">
        <v>0.28999999999999998</v>
      </c>
      <c r="I21">
        <v>0.28999999999999998</v>
      </c>
      <c r="J21">
        <v>0.28999999999999998</v>
      </c>
      <c r="K21">
        <v>0.28999999999999998</v>
      </c>
      <c r="L21">
        <v>0.28999999999999998</v>
      </c>
    </row>
    <row r="22" spans="1:12">
      <c r="A22" t="s">
        <v>131</v>
      </c>
      <c r="B22">
        <v>0</v>
      </c>
      <c r="C22">
        <v>0</v>
      </c>
      <c r="D22">
        <v>0</v>
      </c>
      <c r="E22">
        <v>1.7</v>
      </c>
      <c r="F22">
        <v>1.7</v>
      </c>
      <c r="G22">
        <v>1.7</v>
      </c>
      <c r="H22">
        <v>1.7</v>
      </c>
      <c r="I22">
        <v>1.7</v>
      </c>
      <c r="J22">
        <v>1.7</v>
      </c>
      <c r="K22">
        <v>1.7</v>
      </c>
      <c r="L22">
        <v>1.7</v>
      </c>
    </row>
    <row r="23" spans="1:12">
      <c r="A23" t="s">
        <v>132</v>
      </c>
      <c r="B23">
        <v>0</v>
      </c>
      <c r="C23">
        <v>32</v>
      </c>
      <c r="D23">
        <v>32</v>
      </c>
      <c r="E23">
        <v>30</v>
      </c>
      <c r="F23">
        <v>26</v>
      </c>
      <c r="G23">
        <v>22</v>
      </c>
      <c r="H23">
        <v>17.5</v>
      </c>
      <c r="I23">
        <v>12</v>
      </c>
      <c r="J23">
        <v>5.5</v>
      </c>
      <c r="K23">
        <v>0</v>
      </c>
      <c r="L23">
        <v>0</v>
      </c>
    </row>
    <row r="24" spans="1:12">
      <c r="A24" t="s">
        <v>133</v>
      </c>
      <c r="B24">
        <v>0</v>
      </c>
      <c r="C24">
        <v>15</v>
      </c>
      <c r="D24">
        <v>15</v>
      </c>
      <c r="E24">
        <v>15</v>
      </c>
      <c r="F24">
        <v>15</v>
      </c>
      <c r="G24">
        <v>15</v>
      </c>
      <c r="H24">
        <v>15</v>
      </c>
      <c r="I24">
        <v>15</v>
      </c>
      <c r="J24">
        <v>15</v>
      </c>
      <c r="K24">
        <v>15</v>
      </c>
      <c r="L24">
        <v>0</v>
      </c>
    </row>
    <row r="25" spans="1:12">
      <c r="A25" t="s">
        <v>134</v>
      </c>
      <c r="B25">
        <v>0</v>
      </c>
      <c r="C25">
        <v>11</v>
      </c>
      <c r="D25">
        <v>11</v>
      </c>
      <c r="E25">
        <v>11.47</v>
      </c>
      <c r="F25">
        <v>12.41</v>
      </c>
      <c r="G25">
        <v>12.88</v>
      </c>
      <c r="H25">
        <v>12.88</v>
      </c>
      <c r="I25">
        <v>12.88</v>
      </c>
      <c r="J25">
        <v>12.88</v>
      </c>
      <c r="K25">
        <v>12.88</v>
      </c>
      <c r="L25">
        <v>12.88</v>
      </c>
    </row>
    <row r="26" spans="1:12">
      <c r="A26" t="s">
        <v>135</v>
      </c>
      <c r="B26">
        <v>0.28999999999999998</v>
      </c>
      <c r="C26">
        <v>58</v>
      </c>
      <c r="D26">
        <v>58.29</v>
      </c>
      <c r="E26">
        <v>58.459999999999994</v>
      </c>
      <c r="F26">
        <v>55.399999999999991</v>
      </c>
      <c r="G26">
        <v>51.87</v>
      </c>
      <c r="H26">
        <v>47.37</v>
      </c>
      <c r="I26">
        <v>41.870000000000005</v>
      </c>
      <c r="J26">
        <v>35.370000000000005</v>
      </c>
      <c r="K26">
        <v>29.869999999999997</v>
      </c>
      <c r="L26">
        <v>14.870000000000001</v>
      </c>
    </row>
    <row r="27" spans="1:12">
      <c r="A27" t="s">
        <v>136</v>
      </c>
      <c r="B27">
        <v>0.84</v>
      </c>
      <c r="D27">
        <v>0.84</v>
      </c>
      <c r="E27">
        <v>0.59</v>
      </c>
      <c r="F27">
        <v>0.39999999999999997</v>
      </c>
      <c r="G27">
        <v>0.19999999999999996</v>
      </c>
      <c r="H27">
        <v>0</v>
      </c>
      <c r="I27">
        <v>0</v>
      </c>
      <c r="J27">
        <v>0</v>
      </c>
      <c r="K27">
        <v>0</v>
      </c>
      <c r="L27">
        <v>0</v>
      </c>
    </row>
    <row r="28" spans="1:12">
      <c r="A28" t="s">
        <v>97</v>
      </c>
      <c r="B28">
        <v>32.33</v>
      </c>
      <c r="C28">
        <v>-21.33</v>
      </c>
      <c r="D28">
        <v>11</v>
      </c>
      <c r="E28">
        <v>16.600000000000012</v>
      </c>
      <c r="F28">
        <v>22.340000000000011</v>
      </c>
      <c r="G28">
        <v>30.020000000000007</v>
      </c>
      <c r="H28">
        <v>39.060000000000009</v>
      </c>
      <c r="I28">
        <v>49.569999999999993</v>
      </c>
      <c r="J28">
        <v>61.740000000000009</v>
      </c>
      <c r="K28">
        <v>75.75</v>
      </c>
      <c r="L28">
        <v>91.63</v>
      </c>
    </row>
    <row r="29" spans="1:12">
      <c r="A29" t="s">
        <v>137</v>
      </c>
      <c r="B29">
        <v>33.46</v>
      </c>
      <c r="C29">
        <v>48.96</v>
      </c>
      <c r="D29">
        <v>70.13</v>
      </c>
      <c r="E29">
        <v>75.650000000000006</v>
      </c>
      <c r="F29">
        <v>78.14</v>
      </c>
      <c r="G29">
        <v>82.09</v>
      </c>
      <c r="H29">
        <v>86.43</v>
      </c>
      <c r="I29">
        <v>91.44</v>
      </c>
      <c r="J29">
        <v>97.110000000000014</v>
      </c>
      <c r="K29">
        <v>105.62</v>
      </c>
      <c r="L29">
        <v>106.5</v>
      </c>
    </row>
    <row r="31" spans="1:12">
      <c r="A31" t="s">
        <v>154</v>
      </c>
      <c r="B31">
        <v>8.7428399155863729E-3</v>
      </c>
      <c r="C31">
        <v>36.67</v>
      </c>
      <c r="D31">
        <v>4.9231418918918921</v>
      </c>
      <c r="E31">
        <v>3.4008144269924347</v>
      </c>
      <c r="F31">
        <v>2.4362357080035166</v>
      </c>
      <c r="G31">
        <v>1.7164129715420247</v>
      </c>
      <c r="H31">
        <v>1.2127496159754221</v>
      </c>
      <c r="I31">
        <v>0.84466411135767627</v>
      </c>
      <c r="J31">
        <v>0.57288629737609331</v>
      </c>
      <c r="K31">
        <v>0.3943234323432343</v>
      </c>
      <c r="L31">
        <v>0.16228309505620431</v>
      </c>
    </row>
    <row r="32" spans="1:12">
      <c r="A32" t="s">
        <v>155</v>
      </c>
      <c r="E32">
        <v>4.1619781594421639</v>
      </c>
      <c r="F32">
        <v>2.9185250674979759</v>
      </c>
      <c r="G32">
        <v>2.0763243397727704</v>
      </c>
      <c r="H32">
        <v>1.4645812937587235</v>
      </c>
      <c r="I32">
        <v>1.0287068636665491</v>
      </c>
      <c r="J32">
        <v>0.70877520436688479</v>
      </c>
      <c r="K32">
        <v>0.48360486485966381</v>
      </c>
      <c r="L32">
        <v>0.27830326369971931</v>
      </c>
    </row>
    <row r="34" spans="1:12">
      <c r="A34" t="s">
        <v>156</v>
      </c>
      <c r="E34">
        <v>2.643518518518519</v>
      </c>
      <c r="F34">
        <v>2.3064770932069512</v>
      </c>
      <c r="G34">
        <v>2.8338926174496639</v>
      </c>
      <c r="H34">
        <v>3.3121597096188751</v>
      </c>
      <c r="I34">
        <v>3.9420000000000002</v>
      </c>
      <c r="J34">
        <v>4.8607305936073057</v>
      </c>
      <c r="K34">
        <v>6.3013698630136989</v>
      </c>
      <c r="L34">
        <v>7.9140127388535033</v>
      </c>
    </row>
    <row r="35" spans="1:12">
      <c r="A35" t="s">
        <v>157</v>
      </c>
      <c r="E35">
        <v>2.4718614718614722</v>
      </c>
      <c r="F35">
        <v>1.4133591481122942</v>
      </c>
      <c r="G35">
        <v>1.6957831325301205</v>
      </c>
      <c r="H35">
        <v>1.8231768231768233</v>
      </c>
      <c r="I35">
        <v>1.8771428571428572</v>
      </c>
      <c r="J35">
        <v>1.9568014705882355</v>
      </c>
      <c r="K35">
        <v>2.513661202185792</v>
      </c>
      <c r="L35">
        <v>1.3699007717750826</v>
      </c>
    </row>
    <row r="37" spans="1:12">
      <c r="A37" t="s">
        <v>618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EF368-7B97-4724-A0A8-9D90D8F3316F}">
  <dimension ref="A2:I33"/>
  <sheetViews>
    <sheetView showGridLines="0" workbookViewId="0">
      <selection activeCell="I11" sqref="I11"/>
    </sheetView>
  </sheetViews>
  <sheetFormatPr baseColWidth="10" defaultColWidth="8.6640625" defaultRowHeight="15"/>
  <cols>
    <col min="1" max="1" width="31.5" customWidth="1"/>
  </cols>
  <sheetData>
    <row r="2" spans="1:9">
      <c r="A2" t="s">
        <v>628</v>
      </c>
    </row>
    <row r="3" spans="1:9">
      <c r="A3" t="s">
        <v>599</v>
      </c>
    </row>
    <row r="4" spans="1:9">
      <c r="A4" t="s">
        <v>629</v>
      </c>
    </row>
    <row r="5" spans="1:9">
      <c r="A5" t="s">
        <v>601</v>
      </c>
    </row>
    <row r="8" spans="1:9">
      <c r="A8" t="s">
        <v>630</v>
      </c>
      <c r="B8">
        <v>1991</v>
      </c>
      <c r="C8">
        <v>1992</v>
      </c>
      <c r="D8">
        <v>1993</v>
      </c>
      <c r="E8">
        <v>1994</v>
      </c>
      <c r="F8">
        <v>1995</v>
      </c>
      <c r="G8">
        <v>1996</v>
      </c>
      <c r="H8">
        <v>1997</v>
      </c>
      <c r="I8">
        <v>1998</v>
      </c>
    </row>
    <row r="9" spans="1:9">
      <c r="A9" t="s">
        <v>41</v>
      </c>
      <c r="B9">
        <v>11.42</v>
      </c>
      <c r="C9">
        <v>14.6</v>
      </c>
      <c r="D9">
        <v>16.89</v>
      </c>
      <c r="E9">
        <v>18.25</v>
      </c>
      <c r="F9">
        <v>19.71</v>
      </c>
      <c r="G9">
        <v>21.29</v>
      </c>
      <c r="H9">
        <v>23</v>
      </c>
      <c r="I9">
        <v>24.85</v>
      </c>
    </row>
    <row r="10" spans="1:9">
      <c r="A10" t="s">
        <v>42</v>
      </c>
      <c r="B10">
        <v>-2.855</v>
      </c>
      <c r="C10">
        <v>-4.5259999999999998</v>
      </c>
      <c r="D10">
        <v>-5.2359</v>
      </c>
      <c r="E10">
        <v>-5.4749999999999996</v>
      </c>
      <c r="F10">
        <v>-5.9130000000000003</v>
      </c>
      <c r="G10">
        <v>-6.3869999999999996</v>
      </c>
      <c r="H10">
        <v>-6.8999999999999995</v>
      </c>
      <c r="I10">
        <v>-7.4550000000000001</v>
      </c>
    </row>
    <row r="11" spans="1:9">
      <c r="A11" t="s">
        <v>43</v>
      </c>
      <c r="B11">
        <v>8.5649999999999995</v>
      </c>
      <c r="C11">
        <v>10.074</v>
      </c>
      <c r="D11">
        <v>11.6541</v>
      </c>
      <c r="E11">
        <v>12.775</v>
      </c>
      <c r="F11">
        <v>13.797000000000001</v>
      </c>
      <c r="G11">
        <v>14.902999999999999</v>
      </c>
      <c r="H11">
        <v>16.100000000000001</v>
      </c>
      <c r="I11">
        <v>17.395000000000003</v>
      </c>
    </row>
    <row r="13" spans="1:9">
      <c r="A13" t="s">
        <v>44</v>
      </c>
    </row>
    <row r="14" spans="1:9">
      <c r="A14" t="s">
        <v>604</v>
      </c>
      <c r="B14">
        <v>1.9</v>
      </c>
      <c r="C14">
        <v>1.98</v>
      </c>
      <c r="D14">
        <v>2.0099999999999998</v>
      </c>
      <c r="E14">
        <v>2.11</v>
      </c>
      <c r="F14">
        <v>2.2200000000000002</v>
      </c>
      <c r="G14">
        <v>2.2200000000000002</v>
      </c>
      <c r="H14">
        <v>2.2200000000000002</v>
      </c>
      <c r="I14">
        <v>2.2200000000000002</v>
      </c>
    </row>
    <row r="15" spans="1:9">
      <c r="A15" t="s">
        <v>605</v>
      </c>
      <c r="B15">
        <v>-0.25</v>
      </c>
      <c r="C15">
        <v>-0.19</v>
      </c>
      <c r="D15">
        <v>-0.2</v>
      </c>
      <c r="E15">
        <v>-0.2</v>
      </c>
      <c r="F15">
        <v>0</v>
      </c>
      <c r="G15">
        <v>0</v>
      </c>
      <c r="H15">
        <v>0</v>
      </c>
      <c r="I15">
        <v>0</v>
      </c>
    </row>
    <row r="16" spans="1:9">
      <c r="A16" t="s">
        <v>606</v>
      </c>
      <c r="B16">
        <v>-2.69</v>
      </c>
      <c r="C16">
        <v>-1.4</v>
      </c>
      <c r="D16">
        <v>-2.64</v>
      </c>
      <c r="E16">
        <v>-2.77</v>
      </c>
      <c r="F16">
        <v>-2.91</v>
      </c>
      <c r="G16">
        <v>-2.91</v>
      </c>
      <c r="H16">
        <v>-2.91</v>
      </c>
      <c r="I16">
        <v>-2.91</v>
      </c>
    </row>
    <row r="17" spans="1:9">
      <c r="A17" t="s">
        <v>607</v>
      </c>
      <c r="B17">
        <v>-0.02</v>
      </c>
      <c r="C17">
        <v>-2.2400000000000002</v>
      </c>
      <c r="D17">
        <v>-2.73</v>
      </c>
      <c r="E17">
        <v>-2.95</v>
      </c>
      <c r="F17">
        <v>-3.19</v>
      </c>
      <c r="G17">
        <v>-3.44</v>
      </c>
      <c r="H17">
        <v>-3.72</v>
      </c>
      <c r="I17">
        <v>-4.0199999999999996</v>
      </c>
    </row>
    <row r="18" spans="1:9">
      <c r="A18" t="s">
        <v>608</v>
      </c>
      <c r="B18">
        <v>0.17</v>
      </c>
      <c r="C18">
        <v>-0.23</v>
      </c>
      <c r="D18">
        <v>-0.32</v>
      </c>
      <c r="E18">
        <v>-0.4</v>
      </c>
      <c r="F18">
        <v>-0.43</v>
      </c>
      <c r="G18">
        <v>-0.46</v>
      </c>
      <c r="H18">
        <v>-0.5</v>
      </c>
      <c r="I18">
        <v>-0.54</v>
      </c>
    </row>
    <row r="19" spans="1:9">
      <c r="A19" t="s">
        <v>609</v>
      </c>
      <c r="B19">
        <v>0.4</v>
      </c>
      <c r="C19">
        <v>-0.12</v>
      </c>
      <c r="D19">
        <v>-0.14000000000000001</v>
      </c>
      <c r="E19">
        <v>-0.15</v>
      </c>
      <c r="F19">
        <v>-0.16</v>
      </c>
      <c r="G19">
        <v>-0.18</v>
      </c>
      <c r="H19">
        <v>-0.19</v>
      </c>
      <c r="I19">
        <v>-0.21</v>
      </c>
    </row>
    <row r="20" spans="1:9">
      <c r="A20" t="s">
        <v>610</v>
      </c>
      <c r="B20">
        <v>0.18</v>
      </c>
      <c r="C20">
        <v>0.8</v>
      </c>
      <c r="D20">
        <v>1.1499999999999999</v>
      </c>
      <c r="E20">
        <v>1.41</v>
      </c>
      <c r="F20">
        <v>1.52</v>
      </c>
      <c r="G20">
        <v>1.64</v>
      </c>
      <c r="H20">
        <v>1.77</v>
      </c>
      <c r="I20">
        <v>1.91</v>
      </c>
    </row>
    <row r="21" spans="1:9">
      <c r="A21" t="s">
        <v>611</v>
      </c>
      <c r="B21">
        <v>0.45</v>
      </c>
      <c r="C21">
        <v>0.56999999999999995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</row>
    <row r="22" spans="1:9">
      <c r="A22" t="s">
        <v>612</v>
      </c>
      <c r="B22">
        <v>-1.33</v>
      </c>
      <c r="C22">
        <v>0.7</v>
      </c>
      <c r="D22">
        <v>0.85</v>
      </c>
      <c r="E22">
        <v>0.92</v>
      </c>
      <c r="F22">
        <v>0.99</v>
      </c>
      <c r="G22">
        <v>1.07</v>
      </c>
      <c r="H22">
        <v>1.1599999999999999</v>
      </c>
      <c r="I22">
        <v>1.25</v>
      </c>
    </row>
    <row r="23" spans="1:9">
      <c r="A23" t="s">
        <v>56</v>
      </c>
      <c r="B23">
        <v>7.375</v>
      </c>
      <c r="C23">
        <v>9.9439999999999991</v>
      </c>
      <c r="D23">
        <v>9.6340999999999983</v>
      </c>
      <c r="E23">
        <v>10.744999999999999</v>
      </c>
      <c r="F23">
        <v>11.837</v>
      </c>
      <c r="G23">
        <v>12.842999999999998</v>
      </c>
      <c r="H23">
        <v>13.93</v>
      </c>
      <c r="I23">
        <v>15.095000000000002</v>
      </c>
    </row>
    <row r="26" spans="1:9">
      <c r="A26" t="s">
        <v>160</v>
      </c>
    </row>
    <row r="27" spans="1:9">
      <c r="A27" t="s">
        <v>161</v>
      </c>
      <c r="B27">
        <v>4.3199999999999994</v>
      </c>
      <c r="C27">
        <v>6.33</v>
      </c>
      <c r="D27">
        <v>5.9600000000000009</v>
      </c>
      <c r="E27">
        <v>5.51</v>
      </c>
      <c r="F27">
        <v>5</v>
      </c>
      <c r="G27">
        <v>4.38</v>
      </c>
      <c r="H27">
        <v>3.65</v>
      </c>
      <c r="I27">
        <v>3.14</v>
      </c>
    </row>
    <row r="28" spans="1:9">
      <c r="A28" t="s">
        <v>162</v>
      </c>
      <c r="B28">
        <v>-0.32</v>
      </c>
      <c r="C28">
        <v>0</v>
      </c>
      <c r="D28">
        <v>-0.13</v>
      </c>
      <c r="E28">
        <v>-0.25</v>
      </c>
      <c r="F28">
        <v>-0.38</v>
      </c>
      <c r="G28">
        <v>-0.55000000000000004</v>
      </c>
      <c r="H28">
        <v>-0.74</v>
      </c>
      <c r="I28">
        <v>-1.06</v>
      </c>
    </row>
    <row r="29" spans="1:9">
      <c r="A29" t="s">
        <v>163</v>
      </c>
      <c r="B29">
        <v>-0.47</v>
      </c>
      <c r="C29">
        <v>-0.94</v>
      </c>
      <c r="D29">
        <v>-0.47</v>
      </c>
      <c r="E29">
        <v>0</v>
      </c>
      <c r="F29">
        <v>0</v>
      </c>
      <c r="G29">
        <v>0</v>
      </c>
      <c r="H29">
        <v>0</v>
      </c>
      <c r="I29">
        <v>0</v>
      </c>
    </row>
    <row r="30" spans="1:9">
      <c r="A30" t="s">
        <v>164</v>
      </c>
      <c r="B30">
        <v>3.5299999999999994</v>
      </c>
      <c r="C30">
        <v>5.3900000000000006</v>
      </c>
      <c r="D30">
        <v>5.3600000000000012</v>
      </c>
      <c r="E30">
        <v>5.26</v>
      </c>
      <c r="F30">
        <v>4.62</v>
      </c>
      <c r="G30">
        <v>3.83</v>
      </c>
      <c r="H30">
        <v>2.91</v>
      </c>
      <c r="I30">
        <v>2.08</v>
      </c>
    </row>
    <row r="31" spans="1:9">
      <c r="A31" t="s">
        <v>165</v>
      </c>
      <c r="B31">
        <v>0.88249999999999984</v>
      </c>
      <c r="C31">
        <v>1.6709000000000003</v>
      </c>
      <c r="D31">
        <v>1.6616000000000004</v>
      </c>
      <c r="E31">
        <v>1.5779999999999998</v>
      </c>
      <c r="F31">
        <v>1.3859999999999999</v>
      </c>
      <c r="G31">
        <v>1.149</v>
      </c>
      <c r="H31">
        <v>0.873</v>
      </c>
      <c r="I31">
        <v>0.624</v>
      </c>
    </row>
    <row r="33" spans="1:1">
      <c r="A33" t="s">
        <v>631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E9862-B2E8-6045-977C-902C16EDE684}">
  <dimension ref="A2:E25"/>
  <sheetViews>
    <sheetView zoomScale="119" workbookViewId="0">
      <selection activeCell="B22" sqref="B22"/>
    </sheetView>
  </sheetViews>
  <sheetFormatPr baseColWidth="10" defaultColWidth="10.6640625" defaultRowHeight="15"/>
  <cols>
    <col min="1" max="1" width="10.6640625" style="76"/>
    <col min="2" max="2" width="17.1640625" style="76" customWidth="1"/>
    <col min="3" max="3" width="15.33203125" style="76" bestFit="1" customWidth="1"/>
    <col min="4" max="4" width="16.1640625" style="76" customWidth="1"/>
    <col min="5" max="5" width="14.5" style="76" bestFit="1" customWidth="1"/>
    <col min="6" max="16384" width="10.6640625" style="76"/>
  </cols>
  <sheetData>
    <row r="2" spans="1:5">
      <c r="A2" s="76" t="s">
        <v>632</v>
      </c>
    </row>
    <row r="3" spans="1:5">
      <c r="A3" s="76" t="s">
        <v>599</v>
      </c>
    </row>
    <row r="4" spans="1:5">
      <c r="A4" s="76" t="s">
        <v>633</v>
      </c>
    </row>
    <row r="5" spans="1:5">
      <c r="A5" s="76" t="s">
        <v>601</v>
      </c>
    </row>
    <row r="7" spans="1:5">
      <c r="A7" s="79" t="s">
        <v>257</v>
      </c>
      <c r="B7" s="86" t="s">
        <v>258</v>
      </c>
      <c r="C7" s="86" t="s">
        <v>259</v>
      </c>
      <c r="D7" s="86" t="s">
        <v>260</v>
      </c>
    </row>
    <row r="8" spans="1:5">
      <c r="A8" s="76" t="s">
        <v>261</v>
      </c>
      <c r="B8" s="76">
        <v>1.3534999999999999</v>
      </c>
      <c r="C8" s="76">
        <f>B8+0.31</f>
        <v>1.6635</v>
      </c>
      <c r="D8" s="76">
        <f>B8+0.91</f>
        <v>2.2635000000000001</v>
      </c>
    </row>
    <row r="10" spans="1:5">
      <c r="A10" s="79" t="s">
        <v>265</v>
      </c>
      <c r="B10" s="86" t="s">
        <v>266</v>
      </c>
      <c r="C10" s="86" t="s">
        <v>267</v>
      </c>
      <c r="D10" s="86" t="s">
        <v>268</v>
      </c>
      <c r="E10" s="86" t="s">
        <v>269</v>
      </c>
    </row>
    <row r="11" spans="1:5">
      <c r="A11" s="88" t="s">
        <v>634</v>
      </c>
      <c r="B11" s="91">
        <v>0</v>
      </c>
      <c r="C11" s="92">
        <f t="shared" ref="C11:C18" si="0">B11*$B$8</f>
        <v>0</v>
      </c>
      <c r="D11" s="91">
        <f>E11/$B$8</f>
        <v>1477650.5356483192</v>
      </c>
      <c r="E11" s="92">
        <v>2000000</v>
      </c>
    </row>
    <row r="12" spans="1:5">
      <c r="A12" s="88" t="s">
        <v>635</v>
      </c>
      <c r="B12" s="91">
        <v>0</v>
      </c>
      <c r="C12" s="92">
        <f t="shared" si="0"/>
        <v>0</v>
      </c>
      <c r="D12" s="91">
        <f t="shared" ref="D12:D16" si="1">E12/$B$8</f>
        <v>2955301.0712966383</v>
      </c>
      <c r="E12" s="92">
        <v>4000000</v>
      </c>
    </row>
    <row r="13" spans="1:5">
      <c r="A13" s="88" t="s">
        <v>636</v>
      </c>
      <c r="B13" s="91">
        <v>1550000</v>
      </c>
      <c r="C13" s="92">
        <f t="shared" si="0"/>
        <v>2097925</v>
      </c>
      <c r="D13" s="91">
        <f t="shared" si="1"/>
        <v>1366826.7454746952</v>
      </c>
      <c r="E13" s="92">
        <v>1850000</v>
      </c>
    </row>
    <row r="14" spans="1:5">
      <c r="A14" s="88" t="s">
        <v>637</v>
      </c>
      <c r="B14" s="91">
        <v>1800000</v>
      </c>
      <c r="C14" s="92">
        <f t="shared" si="0"/>
        <v>2436300</v>
      </c>
      <c r="D14" s="91">
        <f t="shared" si="1"/>
        <v>1477650.5356483192</v>
      </c>
      <c r="E14" s="92">
        <v>2000000</v>
      </c>
    </row>
    <row r="15" spans="1:5">
      <c r="A15" s="88" t="s">
        <v>638</v>
      </c>
      <c r="B15" s="91">
        <v>2150000</v>
      </c>
      <c r="C15" s="92">
        <f t="shared" si="0"/>
        <v>2910025</v>
      </c>
      <c r="D15" s="91">
        <f t="shared" si="1"/>
        <v>1847063.1695603991</v>
      </c>
      <c r="E15" s="92">
        <v>2500000</v>
      </c>
    </row>
    <row r="16" spans="1:5">
      <c r="A16" s="88" t="s">
        <v>639</v>
      </c>
      <c r="B16" s="91">
        <v>2525000</v>
      </c>
      <c r="C16" s="92">
        <f t="shared" si="0"/>
        <v>3417587.5</v>
      </c>
      <c r="D16" s="91">
        <f t="shared" si="1"/>
        <v>2216475.8034724789</v>
      </c>
      <c r="E16" s="92">
        <v>3000000</v>
      </c>
    </row>
    <row r="17" spans="1:5">
      <c r="A17" s="88" t="s">
        <v>640</v>
      </c>
      <c r="B17" s="91">
        <f>B18-SUM(B11:B16)</f>
        <v>2065000</v>
      </c>
      <c r="C17" s="92">
        <f t="shared" si="0"/>
        <v>2794977.5</v>
      </c>
      <c r="D17" s="92">
        <f>E17/$B$8</f>
        <v>1957886.9597340231</v>
      </c>
      <c r="E17" s="92">
        <f>E18-SUM(E11:E16)</f>
        <v>2650000</v>
      </c>
    </row>
    <row r="18" spans="1:5">
      <c r="A18" s="94" t="s">
        <v>248</v>
      </c>
      <c r="B18" s="95">
        <v>10090000</v>
      </c>
      <c r="C18" s="96">
        <f t="shared" si="0"/>
        <v>13656815</v>
      </c>
      <c r="D18" s="96">
        <f>E18/$B$8</f>
        <v>13298854.820834873</v>
      </c>
      <c r="E18" s="96">
        <v>18000000</v>
      </c>
    </row>
    <row r="19" spans="1:5">
      <c r="A19" s="88"/>
      <c r="B19" s="93"/>
      <c r="C19" s="93"/>
      <c r="D19" s="93"/>
      <c r="E19" s="93"/>
    </row>
    <row r="20" spans="1:5">
      <c r="A20" s="97"/>
      <c r="B20" s="79" t="s">
        <v>270</v>
      </c>
      <c r="C20" s="79" t="s">
        <v>271</v>
      </c>
      <c r="D20" s="91"/>
    </row>
    <row r="21" spans="1:5">
      <c r="A21" s="88" t="s">
        <v>641</v>
      </c>
      <c r="B21" s="92">
        <f>C18+E18</f>
        <v>31656815</v>
      </c>
      <c r="C21" s="91">
        <f>B18+D18</f>
        <v>23388854.820834875</v>
      </c>
    </row>
    <row r="22" spans="1:5">
      <c r="A22" s="88"/>
    </row>
    <row r="23" spans="1:5">
      <c r="A23" s="88"/>
    </row>
    <row r="24" spans="1:5">
      <c r="A24" s="88"/>
    </row>
    <row r="25" spans="1:5">
      <c r="A25" t="s">
        <v>618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C71D9-A550-DE4D-8B09-6EB9FE0F2028}">
  <dimension ref="B4:AD44"/>
  <sheetViews>
    <sheetView zoomScale="111" workbookViewId="0">
      <selection activeCell="R22" sqref="R22"/>
    </sheetView>
  </sheetViews>
  <sheetFormatPr baseColWidth="10" defaultColWidth="10.6640625" defaultRowHeight="15"/>
  <cols>
    <col min="1" max="16384" width="10.6640625" style="76"/>
  </cols>
  <sheetData>
    <row r="4" spans="2:2">
      <c r="B4"/>
    </row>
    <row r="44" spans="30:30" ht="18">
      <c r="AD44" s="233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B637D-B38F-45F9-BA7C-EFABD1CF8080}">
  <dimension ref="A1:I34"/>
  <sheetViews>
    <sheetView showGridLines="0" workbookViewId="0">
      <selection activeCell="H22" sqref="H22"/>
    </sheetView>
  </sheetViews>
  <sheetFormatPr baseColWidth="10" defaultColWidth="8.6640625" defaultRowHeight="15"/>
  <cols>
    <col min="1" max="1" width="3.6640625" customWidth="1"/>
    <col min="2" max="2" width="20.6640625" bestFit="1" customWidth="1"/>
    <col min="3" max="4" width="9.5" bestFit="1" customWidth="1"/>
    <col min="6" max="6" width="10.33203125" bestFit="1" customWidth="1"/>
    <col min="8" max="8" width="10.33203125" bestFit="1" customWidth="1"/>
  </cols>
  <sheetData>
    <row r="1" spans="1:9" ht="5" customHeight="1"/>
    <row r="2" spans="1:9" s="4" customFormat="1" ht="19">
      <c r="A2" s="17" t="s">
        <v>13</v>
      </c>
      <c r="B2" s="4" t="s">
        <v>642</v>
      </c>
    </row>
    <row r="5" spans="1:9">
      <c r="B5" t="s">
        <v>643</v>
      </c>
      <c r="C5" s="71">
        <f>'DCM rates'!C39</f>
        <v>6.7500000000000004E-2</v>
      </c>
    </row>
    <row r="7" spans="1:9">
      <c r="B7" t="s">
        <v>257</v>
      </c>
      <c r="C7" t="s">
        <v>258</v>
      </c>
      <c r="D7" t="s">
        <v>259</v>
      </c>
      <c r="E7" t="s">
        <v>260</v>
      </c>
    </row>
    <row r="8" spans="1:9">
      <c r="B8" t="s">
        <v>261</v>
      </c>
      <c r="C8">
        <v>1.3534999999999999</v>
      </c>
      <c r="D8">
        <f>C8+0.31</f>
        <v>1.6635</v>
      </c>
      <c r="E8">
        <f>C8+0.91</f>
        <v>2.2635000000000001</v>
      </c>
    </row>
    <row r="10" spans="1:9">
      <c r="A10" t="s">
        <v>13</v>
      </c>
      <c r="B10" s="3" t="s">
        <v>303</v>
      </c>
      <c r="C10" s="11" t="s">
        <v>30</v>
      </c>
      <c r="D10" s="11" t="s">
        <v>304</v>
      </c>
      <c r="E10" s="3" t="s">
        <v>644</v>
      </c>
      <c r="F10" s="3" t="s">
        <v>306</v>
      </c>
      <c r="G10" s="3" t="s">
        <v>307</v>
      </c>
      <c r="H10" s="3" t="s">
        <v>308</v>
      </c>
      <c r="I10" s="8" t="s">
        <v>309</v>
      </c>
    </row>
    <row r="11" spans="1:9">
      <c r="B11" t="s">
        <v>90</v>
      </c>
      <c r="C11">
        <v>1.1299999999999999</v>
      </c>
      <c r="F11" s="7"/>
    </row>
    <row r="12" spans="1:9">
      <c r="B12" t="s">
        <v>645</v>
      </c>
      <c r="C12">
        <v>4</v>
      </c>
      <c r="E12" s="36">
        <v>2.2499999999999999E-2</v>
      </c>
      <c r="F12" s="36">
        <v>5.0000000000000001E-3</v>
      </c>
      <c r="H12" s="7">
        <v>35764</v>
      </c>
    </row>
    <row r="13" spans="1:9">
      <c r="B13" t="s">
        <v>91</v>
      </c>
      <c r="C13">
        <v>32</v>
      </c>
      <c r="E13" s="36">
        <v>2.2499999999999999E-2</v>
      </c>
      <c r="F13" s="7"/>
      <c r="H13" s="7">
        <v>35764</v>
      </c>
    </row>
    <row r="14" spans="1:9">
      <c r="B14" t="s">
        <v>93</v>
      </c>
      <c r="C14">
        <v>15</v>
      </c>
      <c r="E14" s="36">
        <v>3.2500000000000001E-2</v>
      </c>
      <c r="F14" s="7"/>
      <c r="H14" s="7">
        <v>35764</v>
      </c>
      <c r="I14" s="16" t="s">
        <v>646</v>
      </c>
    </row>
    <row r="15" spans="1:9">
      <c r="B15" t="s">
        <v>95</v>
      </c>
      <c r="C15">
        <v>11</v>
      </c>
      <c r="E15" s="36">
        <v>5.1999999999999998E-3</v>
      </c>
      <c r="F15" s="7"/>
      <c r="G15" t="s">
        <v>310</v>
      </c>
      <c r="H15" s="7">
        <v>36860</v>
      </c>
    </row>
    <row r="16" spans="1:9">
      <c r="F16" s="7"/>
    </row>
    <row r="17" spans="2:6">
      <c r="B17" s="3" t="s">
        <v>91</v>
      </c>
      <c r="C17" s="3"/>
      <c r="D17" s="3"/>
      <c r="F17" s="7"/>
    </row>
    <row r="18" spans="2:6">
      <c r="B18" t="s">
        <v>647</v>
      </c>
      <c r="C18" s="24">
        <f>D18*C8</f>
        <v>13.656815</v>
      </c>
      <c r="D18" s="24">
        <f>10.09</f>
        <v>10.09</v>
      </c>
      <c r="F18" s="24"/>
    </row>
    <row r="19" spans="2:6" ht="16" thickBot="1">
      <c r="B19" s="12" t="s">
        <v>648</v>
      </c>
      <c r="C19" s="48">
        <v>18</v>
      </c>
      <c r="D19" s="48">
        <f>C19/C8</f>
        <v>13.298854820834872</v>
      </c>
    </row>
    <row r="20" spans="2:6" ht="16" thickTop="1">
      <c r="B20" t="s">
        <v>641</v>
      </c>
      <c r="C20" s="24">
        <f>SUM(C18:C19)</f>
        <v>31.656815000000002</v>
      </c>
      <c r="D20" s="24">
        <f>SUM(D18:D19)</f>
        <v>23.388854820834872</v>
      </c>
    </row>
    <row r="23" spans="2:6">
      <c r="B23" t="s">
        <v>649</v>
      </c>
    </row>
    <row r="24" spans="2:6">
      <c r="B24" s="47" t="s">
        <v>650</v>
      </c>
      <c r="C24" t="s">
        <v>651</v>
      </c>
      <c r="D24" t="s">
        <v>224</v>
      </c>
      <c r="E24" t="s">
        <v>652</v>
      </c>
      <c r="F24" s="16" t="s">
        <v>309</v>
      </c>
    </row>
    <row r="25" spans="2:6">
      <c r="B25" s="46">
        <v>1</v>
      </c>
      <c r="C25" t="s">
        <v>653</v>
      </c>
      <c r="D25" s="36">
        <v>5.1999999999999998E-3</v>
      </c>
      <c r="E25" t="s">
        <v>245</v>
      </c>
    </row>
    <row r="26" spans="2:6">
      <c r="B26" s="46">
        <v>2</v>
      </c>
      <c r="C26" t="s">
        <v>653</v>
      </c>
      <c r="D26" s="36">
        <v>5.1999999999999998E-3</v>
      </c>
      <c r="E26" t="s">
        <v>245</v>
      </c>
    </row>
    <row r="27" spans="2:6">
      <c r="B27" s="46">
        <v>3</v>
      </c>
      <c r="C27" t="s">
        <v>654</v>
      </c>
      <c r="D27" s="36">
        <v>5.1999999999999998E-3</v>
      </c>
      <c r="E27" t="s">
        <v>655</v>
      </c>
      <c r="F27" s="16" t="s">
        <v>656</v>
      </c>
    </row>
    <row r="28" spans="2:6">
      <c r="B28" s="46">
        <v>4</v>
      </c>
      <c r="C28" t="s">
        <v>654</v>
      </c>
      <c r="D28" s="36">
        <v>5.1999999999999998E-3</v>
      </c>
      <c r="E28" t="s">
        <v>655</v>
      </c>
      <c r="F28" s="16" t="s">
        <v>656</v>
      </c>
    </row>
    <row r="29" spans="2:6">
      <c r="B29" s="46">
        <v>5</v>
      </c>
      <c r="C29" t="s">
        <v>654</v>
      </c>
      <c r="D29" s="36">
        <v>5.1999999999999998E-3</v>
      </c>
      <c r="E29" t="s">
        <v>655</v>
      </c>
      <c r="F29" s="16" t="s">
        <v>656</v>
      </c>
    </row>
    <row r="30" spans="2:6">
      <c r="B30" s="46">
        <v>6</v>
      </c>
      <c r="C30" t="s">
        <v>654</v>
      </c>
      <c r="D30" s="36">
        <v>5.1999999999999998E-3</v>
      </c>
      <c r="E30" t="s">
        <v>655</v>
      </c>
      <c r="F30" s="16" t="s">
        <v>656</v>
      </c>
    </row>
    <row r="31" spans="2:6">
      <c r="B31" s="46">
        <v>7</v>
      </c>
      <c r="C31" t="s">
        <v>654</v>
      </c>
      <c r="D31" s="36">
        <v>5.1999999999999998E-3</v>
      </c>
      <c r="E31" t="s">
        <v>655</v>
      </c>
      <c r="F31" s="16" t="s">
        <v>656</v>
      </c>
    </row>
    <row r="32" spans="2:6">
      <c r="B32" s="46">
        <v>8</v>
      </c>
      <c r="C32" t="s">
        <v>654</v>
      </c>
      <c r="D32" s="36">
        <v>5.1999999999999998E-3</v>
      </c>
      <c r="E32" t="s">
        <v>655</v>
      </c>
      <c r="F32" s="16" t="s">
        <v>656</v>
      </c>
    </row>
    <row r="33" spans="2:6">
      <c r="B33" s="46">
        <v>9</v>
      </c>
      <c r="C33" t="s">
        <v>654</v>
      </c>
      <c r="D33" s="36">
        <v>5.1999999999999998E-3</v>
      </c>
      <c r="E33" t="s">
        <v>655</v>
      </c>
      <c r="F33" s="16" t="s">
        <v>656</v>
      </c>
    </row>
    <row r="34" spans="2:6">
      <c r="B34" s="46">
        <v>10</v>
      </c>
      <c r="C34" t="s">
        <v>654</v>
      </c>
      <c r="D34" s="36">
        <v>5.1999999999999998E-3</v>
      </c>
      <c r="E34" t="s">
        <v>655</v>
      </c>
      <c r="F34" s="16" t="s">
        <v>656</v>
      </c>
    </row>
  </sheetData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A829D-BE46-486D-9FD4-D21F390AE62C}">
  <dimension ref="B1:K28"/>
  <sheetViews>
    <sheetView showGridLines="0" workbookViewId="0">
      <selection activeCell="B2" sqref="B2"/>
    </sheetView>
  </sheetViews>
  <sheetFormatPr baseColWidth="10" defaultColWidth="8.6640625" defaultRowHeight="15"/>
  <cols>
    <col min="1" max="1" width="3.6640625" customWidth="1"/>
    <col min="2" max="2" width="20.6640625" bestFit="1" customWidth="1"/>
    <col min="6" max="6" width="15.1640625" customWidth="1"/>
    <col min="7" max="7" width="15.6640625" bestFit="1" customWidth="1"/>
  </cols>
  <sheetData>
    <row r="1" spans="2:11" ht="5" customHeight="1"/>
    <row r="2" spans="2:11" s="4" customFormat="1" ht="19">
      <c r="B2" s="4" t="s">
        <v>657</v>
      </c>
    </row>
    <row r="4" spans="2:11">
      <c r="B4" s="3" t="s">
        <v>87</v>
      </c>
      <c r="C4" s="3" t="s">
        <v>658</v>
      </c>
    </row>
    <row r="5" spans="2:11">
      <c r="B5" t="s">
        <v>90</v>
      </c>
      <c r="C5">
        <v>1.1299999999999999</v>
      </c>
    </row>
    <row r="6" spans="2:11">
      <c r="B6" t="s">
        <v>91</v>
      </c>
      <c r="C6">
        <v>32</v>
      </c>
    </row>
    <row r="7" spans="2:11">
      <c r="B7" t="s">
        <v>93</v>
      </c>
      <c r="C7">
        <v>15</v>
      </c>
    </row>
    <row r="8" spans="2:11">
      <c r="B8" t="s">
        <v>95</v>
      </c>
      <c r="C8">
        <v>11</v>
      </c>
    </row>
    <row r="9" spans="2:11" ht="16" thickBot="1">
      <c r="B9" s="12" t="s">
        <v>97</v>
      </c>
      <c r="C9" s="12">
        <v>11</v>
      </c>
      <c r="F9" t="s">
        <v>265</v>
      </c>
    </row>
    <row r="10" spans="2:11" ht="16" thickTop="1">
      <c r="B10" t="s">
        <v>99</v>
      </c>
      <c r="C10">
        <v>70.13</v>
      </c>
      <c r="G10" t="s">
        <v>659</v>
      </c>
      <c r="H10" t="s">
        <v>660</v>
      </c>
      <c r="I10" t="s">
        <v>661</v>
      </c>
      <c r="J10" t="s">
        <v>662</v>
      </c>
      <c r="K10" t="s">
        <v>663</v>
      </c>
    </row>
    <row r="11" spans="2:11">
      <c r="F11" t="s">
        <v>664</v>
      </c>
      <c r="G11">
        <v>10.09</v>
      </c>
      <c r="H11">
        <v>18</v>
      </c>
      <c r="K11">
        <v>4</v>
      </c>
    </row>
    <row r="12" spans="2:11">
      <c r="B12" s="3" t="s">
        <v>101</v>
      </c>
      <c r="C12" s="3"/>
      <c r="F12" s="7">
        <v>33572</v>
      </c>
      <c r="G12">
        <v>0</v>
      </c>
      <c r="H12">
        <v>2</v>
      </c>
      <c r="I12" s="27">
        <f>G12/$G$11</f>
        <v>0</v>
      </c>
      <c r="J12" s="27">
        <f>H12/$H$11</f>
        <v>0.1111111111111111</v>
      </c>
    </row>
    <row r="13" spans="2:11">
      <c r="B13" t="s">
        <v>80</v>
      </c>
      <c r="C13">
        <v>65.8</v>
      </c>
      <c r="F13" s="7">
        <v>33938</v>
      </c>
      <c r="G13">
        <v>0</v>
      </c>
      <c r="H13">
        <v>4</v>
      </c>
      <c r="I13" s="27">
        <f t="shared" ref="I13:I17" si="0">G13/$G$11</f>
        <v>0</v>
      </c>
      <c r="J13" s="27">
        <f t="shared" ref="J13:J17" si="1">H13/$H$11</f>
        <v>0.22222222222222221</v>
      </c>
    </row>
    <row r="14" spans="2:11">
      <c r="B14" t="s">
        <v>104</v>
      </c>
      <c r="C14">
        <v>-4.47</v>
      </c>
      <c r="F14" s="7">
        <v>34303</v>
      </c>
      <c r="G14">
        <v>1.55</v>
      </c>
      <c r="H14">
        <v>1.85</v>
      </c>
      <c r="I14" s="27">
        <f t="shared" si="0"/>
        <v>0.15361744301288405</v>
      </c>
      <c r="J14" s="27">
        <f t="shared" si="1"/>
        <v>0.10277777777777779</v>
      </c>
    </row>
    <row r="15" spans="2:11">
      <c r="B15" t="s">
        <v>106</v>
      </c>
      <c r="C15">
        <v>1.3</v>
      </c>
      <c r="F15" s="7">
        <v>34668</v>
      </c>
      <c r="G15">
        <v>1.8</v>
      </c>
      <c r="H15">
        <v>2</v>
      </c>
      <c r="I15" s="27">
        <f t="shared" si="0"/>
        <v>0.17839444995044598</v>
      </c>
      <c r="J15" s="27">
        <f t="shared" si="1"/>
        <v>0.1111111111111111</v>
      </c>
    </row>
    <row r="16" spans="2:11" ht="16" thickBot="1">
      <c r="B16" s="12" t="s">
        <v>108</v>
      </c>
      <c r="C16" s="12">
        <v>7.5</v>
      </c>
      <c r="F16" s="7">
        <v>35033</v>
      </c>
      <c r="G16">
        <v>2.15</v>
      </c>
      <c r="H16">
        <v>2.5</v>
      </c>
      <c r="I16" s="27">
        <f t="shared" si="0"/>
        <v>0.21308225966303271</v>
      </c>
      <c r="J16" s="27">
        <f t="shared" si="1"/>
        <v>0.1388888888888889</v>
      </c>
    </row>
    <row r="17" spans="2:10" ht="16" thickTop="1">
      <c r="B17" t="s">
        <v>109</v>
      </c>
      <c r="C17">
        <v>70.13</v>
      </c>
      <c r="F17" s="7">
        <v>35399</v>
      </c>
      <c r="G17">
        <v>2.5249999999999999</v>
      </c>
      <c r="H17">
        <v>3</v>
      </c>
      <c r="I17" s="27">
        <f t="shared" si="0"/>
        <v>0.2502477700693756</v>
      </c>
      <c r="J17" s="27">
        <f t="shared" si="1"/>
        <v>0.16666666666666666</v>
      </c>
    </row>
    <row r="18" spans="2:10">
      <c r="F18" s="7">
        <v>35764</v>
      </c>
      <c r="G18" t="s">
        <v>665</v>
      </c>
      <c r="H18" t="s">
        <v>665</v>
      </c>
    </row>
    <row r="20" spans="2:10">
      <c r="F20" t="s">
        <v>666</v>
      </c>
      <c r="G20" t="s">
        <v>667</v>
      </c>
    </row>
    <row r="21" spans="2:10">
      <c r="F21" t="s">
        <v>668</v>
      </c>
      <c r="G21" t="s">
        <v>669</v>
      </c>
    </row>
    <row r="22" spans="2:10">
      <c r="F22" t="s">
        <v>670</v>
      </c>
      <c r="G22" t="s">
        <v>671</v>
      </c>
    </row>
    <row r="24" spans="2:10">
      <c r="F24" s="3" t="s">
        <v>241</v>
      </c>
      <c r="G24" s="3"/>
      <c r="I24" s="3" t="s">
        <v>672</v>
      </c>
      <c r="J24" s="3"/>
    </row>
    <row r="25" spans="2:10">
      <c r="F25" s="45" t="s">
        <v>264</v>
      </c>
      <c r="G25" s="30" t="s">
        <v>673</v>
      </c>
      <c r="I25" t="s">
        <v>674</v>
      </c>
      <c r="J25" s="36">
        <v>5.0000000000000001E-3</v>
      </c>
    </row>
    <row r="26" spans="2:10">
      <c r="F26" s="45" t="s">
        <v>663</v>
      </c>
      <c r="G26" s="30" t="s">
        <v>673</v>
      </c>
    </row>
    <row r="27" spans="2:10">
      <c r="F27" s="45" t="s">
        <v>93</v>
      </c>
      <c r="G27" s="18" t="s">
        <v>675</v>
      </c>
    </row>
    <row r="28" spans="2:10">
      <c r="F28" s="45" t="s">
        <v>238</v>
      </c>
      <c r="H28" t="s">
        <v>676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8D89D-2828-4458-A674-AEBAAE909414}">
  <dimension ref="B1:F20"/>
  <sheetViews>
    <sheetView showGridLines="0" zoomScale="106" workbookViewId="0">
      <selection activeCell="C20" sqref="C15:C20"/>
    </sheetView>
  </sheetViews>
  <sheetFormatPr baseColWidth="10" defaultColWidth="8.6640625" defaultRowHeight="15"/>
  <cols>
    <col min="1" max="1" width="3.6640625" customWidth="1"/>
    <col min="2" max="2" width="15.6640625" customWidth="1"/>
  </cols>
  <sheetData>
    <row r="1" spans="2:6" ht="5" customHeight="1"/>
    <row r="2" spans="2:6" s="4" customFormat="1" ht="19">
      <c r="B2" s="4" t="s">
        <v>677</v>
      </c>
    </row>
    <row r="4" spans="2:6">
      <c r="B4" s="5" t="s">
        <v>678</v>
      </c>
      <c r="C4" s="5"/>
      <c r="D4" s="5"/>
      <c r="E4" s="5"/>
      <c r="F4" s="5"/>
    </row>
    <row r="5" spans="2:6">
      <c r="C5" s="6" t="s">
        <v>679</v>
      </c>
      <c r="D5" s="6" t="s">
        <v>680</v>
      </c>
      <c r="E5" s="6" t="s">
        <v>681</v>
      </c>
      <c r="F5" s="6" t="s">
        <v>682</v>
      </c>
    </row>
    <row r="6" spans="2:6">
      <c r="B6" t="s">
        <v>33</v>
      </c>
      <c r="C6">
        <v>89387</v>
      </c>
      <c r="D6">
        <v>87819</v>
      </c>
      <c r="E6">
        <v>97772</v>
      </c>
      <c r="F6">
        <v>110897</v>
      </c>
    </row>
    <row r="7" spans="2:6">
      <c r="B7" t="s">
        <v>34</v>
      </c>
      <c r="C7">
        <v>-76874</v>
      </c>
      <c r="D7">
        <v>-77666</v>
      </c>
      <c r="E7">
        <v>-85201</v>
      </c>
      <c r="F7">
        <v>-98466</v>
      </c>
    </row>
    <row r="8" spans="2:6">
      <c r="B8" t="s">
        <v>35</v>
      </c>
      <c r="C8">
        <v>12513</v>
      </c>
      <c r="D8">
        <v>10153</v>
      </c>
      <c r="E8">
        <v>2521</v>
      </c>
      <c r="F8">
        <v>12431</v>
      </c>
    </row>
    <row r="9" spans="2:6">
      <c r="B9" t="s">
        <v>36</v>
      </c>
      <c r="C9">
        <v>-3953</v>
      </c>
      <c r="D9">
        <v>-2523</v>
      </c>
      <c r="E9">
        <v>-2984</v>
      </c>
      <c r="F9">
        <v>-3525</v>
      </c>
    </row>
    <row r="10" spans="2:6">
      <c r="B10" t="s">
        <v>37</v>
      </c>
      <c r="C10">
        <v>8560</v>
      </c>
      <c r="D10">
        <v>7630</v>
      </c>
      <c r="E10">
        <v>9537</v>
      </c>
      <c r="F10">
        <v>8906</v>
      </c>
    </row>
    <row r="11" spans="2:6">
      <c r="B11" t="s">
        <v>38</v>
      </c>
      <c r="C11">
        <v>14</v>
      </c>
      <c r="D11">
        <v>11.6</v>
      </c>
      <c r="E11">
        <v>12.8</v>
      </c>
      <c r="F11">
        <v>11.2</v>
      </c>
    </row>
    <row r="12" spans="2:6">
      <c r="B12" t="s">
        <v>39</v>
      </c>
      <c r="C12">
        <v>9.6</v>
      </c>
      <c r="D12">
        <v>8.6999999999999993</v>
      </c>
      <c r="E12">
        <v>9.8000000000000007</v>
      </c>
      <c r="F12">
        <v>8</v>
      </c>
    </row>
    <row r="14" spans="2:6">
      <c r="B14" s="5" t="s">
        <v>683</v>
      </c>
      <c r="C14" s="3"/>
    </row>
    <row r="15" spans="2:6">
      <c r="B15" t="s">
        <v>684</v>
      </c>
      <c r="C15">
        <v>77.5</v>
      </c>
    </row>
    <row r="16" spans="2:6">
      <c r="B16" t="s">
        <v>685</v>
      </c>
      <c r="C16">
        <v>17.5</v>
      </c>
    </row>
    <row r="17" spans="2:3">
      <c r="B17" t="s">
        <v>686</v>
      </c>
      <c r="C17">
        <v>11.8</v>
      </c>
    </row>
    <row r="18" spans="2:3">
      <c r="B18" t="s">
        <v>687</v>
      </c>
      <c r="C18">
        <v>5</v>
      </c>
    </row>
    <row r="19" spans="2:3">
      <c r="B19" t="s">
        <v>688</v>
      </c>
      <c r="C19">
        <v>-0.9</v>
      </c>
    </row>
    <row r="20" spans="2:3">
      <c r="B20" t="s">
        <v>641</v>
      </c>
      <c r="C20">
        <v>110.9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6920C-8CF1-4728-889B-A5E376158467}">
  <dimension ref="A1:E42"/>
  <sheetViews>
    <sheetView showGridLines="0" zoomScale="103" workbookViewId="0">
      <selection activeCell="C1" sqref="C1"/>
    </sheetView>
  </sheetViews>
  <sheetFormatPr baseColWidth="10" defaultColWidth="8.6640625" defaultRowHeight="15"/>
  <cols>
    <col min="1" max="1" width="2.6640625" customWidth="1"/>
    <col min="2" max="2" width="43.6640625" customWidth="1"/>
    <col min="3" max="4" width="10.6640625" bestFit="1" customWidth="1"/>
    <col min="5" max="5" width="10.6640625" customWidth="1"/>
    <col min="6" max="6" width="37.5" bestFit="1" customWidth="1"/>
    <col min="7" max="7" width="10.6640625" bestFit="1" customWidth="1"/>
    <col min="8" max="8" width="34.6640625" bestFit="1" customWidth="1"/>
    <col min="9" max="10" width="10.6640625" bestFit="1" customWidth="1"/>
  </cols>
  <sheetData>
    <row r="1" spans="1:5" ht="4.25" customHeight="1"/>
    <row r="2" spans="1:5">
      <c r="B2" s="16" t="s">
        <v>689</v>
      </c>
    </row>
    <row r="3" spans="1:5">
      <c r="B3" s="16" t="s">
        <v>690</v>
      </c>
    </row>
    <row r="4" spans="1:5">
      <c r="B4" s="16" t="s">
        <v>691</v>
      </c>
    </row>
    <row r="5" spans="1:5">
      <c r="B5" s="16" t="s">
        <v>692</v>
      </c>
    </row>
    <row r="7" spans="1:5">
      <c r="A7" t="s">
        <v>13</v>
      </c>
      <c r="B7" s="3" t="s">
        <v>283</v>
      </c>
      <c r="C7" s="3"/>
    </row>
    <row r="8" spans="1:5">
      <c r="B8" t="s">
        <v>284</v>
      </c>
      <c r="C8" s="44">
        <v>6.3700000000000007E-2</v>
      </c>
    </row>
    <row r="9" spans="1:5">
      <c r="B9" t="s">
        <v>285</v>
      </c>
      <c r="C9" s="44">
        <v>6.1799999999999994E-2</v>
      </c>
    </row>
    <row r="10" spans="1:5">
      <c r="B10" t="s">
        <v>286</v>
      </c>
      <c r="C10" s="44">
        <v>6.2699999999999992E-2</v>
      </c>
    </row>
    <row r="11" spans="1:5">
      <c r="B11" t="s">
        <v>287</v>
      </c>
      <c r="C11" s="44">
        <v>6.3700000000000007E-2</v>
      </c>
    </row>
    <row r="12" spans="1:5">
      <c r="B12" t="s">
        <v>288</v>
      </c>
      <c r="C12" s="44">
        <v>7.0000000000000007E-2</v>
      </c>
      <c r="D12" s="37"/>
      <c r="E12" s="63"/>
    </row>
    <row r="13" spans="1:5">
      <c r="B13" t="s">
        <v>289</v>
      </c>
      <c r="C13" s="44">
        <v>7.22E-2</v>
      </c>
    </row>
    <row r="14" spans="1:5">
      <c r="B14" t="s">
        <v>290</v>
      </c>
      <c r="C14" s="44">
        <v>7.4099999999999999E-2</v>
      </c>
    </row>
    <row r="15" spans="1:5">
      <c r="B15" t="s">
        <v>291</v>
      </c>
      <c r="C15" s="44">
        <v>7.5800000000000006E-2</v>
      </c>
    </row>
    <row r="16" spans="1:5">
      <c r="B16" s="23" t="s">
        <v>292</v>
      </c>
      <c r="C16" s="75">
        <f>C15+(C17-C15)*((6-5)/(7-5))</f>
        <v>7.7000000000000013E-2</v>
      </c>
      <c r="D16" s="18" t="s">
        <v>293</v>
      </c>
    </row>
    <row r="17" spans="1:4">
      <c r="B17" t="s">
        <v>294</v>
      </c>
      <c r="C17" s="44">
        <v>7.8200000000000006E-2</v>
      </c>
    </row>
    <row r="18" spans="1:4">
      <c r="B18" t="s">
        <v>295</v>
      </c>
      <c r="C18" s="72">
        <v>7.8700000000000006E-2</v>
      </c>
    </row>
    <row r="19" spans="1:4">
      <c r="B19" s="23" t="s">
        <v>296</v>
      </c>
      <c r="C19" s="74">
        <f>C18+(C20-C18)*((9-8)/(10-8))</f>
        <v>7.8949999999999992E-2</v>
      </c>
      <c r="D19" s="18" t="s">
        <v>293</v>
      </c>
    </row>
    <row r="20" spans="1:4">
      <c r="B20" s="51" t="s">
        <v>297</v>
      </c>
      <c r="C20" s="73">
        <v>7.9199999999999993E-2</v>
      </c>
    </row>
    <row r="21" spans="1:4">
      <c r="B21" t="s">
        <v>298</v>
      </c>
      <c r="C21" s="44">
        <v>8.0799999999999997E-2</v>
      </c>
    </row>
    <row r="22" spans="1:4">
      <c r="C22" s="44"/>
    </row>
    <row r="23" spans="1:4">
      <c r="A23" t="s">
        <v>13</v>
      </c>
      <c r="B23" s="3" t="s">
        <v>693</v>
      </c>
      <c r="C23" s="3"/>
    </row>
    <row r="24" spans="1:4">
      <c r="B24" t="s">
        <v>694</v>
      </c>
      <c r="C24" s="44">
        <v>8.0600000000000005E-2</v>
      </c>
    </row>
    <row r="25" spans="1:4">
      <c r="B25" t="s">
        <v>695</v>
      </c>
      <c r="C25" s="44">
        <v>9.9699999999999997E-2</v>
      </c>
    </row>
    <row r="26" spans="1:4">
      <c r="B26" t="s">
        <v>696</v>
      </c>
      <c r="C26" s="44">
        <v>8.2899999999999988E-2</v>
      </c>
    </row>
    <row r="27" spans="1:4">
      <c r="B27" t="s">
        <v>697</v>
      </c>
      <c r="C27" s="44">
        <v>8.9700000000000002E-2</v>
      </c>
    </row>
    <row r="28" spans="1:4">
      <c r="B28" t="s">
        <v>698</v>
      </c>
      <c r="C28" s="44">
        <v>8.5599999999999996E-2</v>
      </c>
    </row>
    <row r="29" spans="1:4">
      <c r="B29" t="s">
        <v>699</v>
      </c>
      <c r="C29" s="44">
        <f>AVERAGE(C25:C28)</f>
        <v>8.9474999999999999E-2</v>
      </c>
    </row>
    <row r="30" spans="1:4">
      <c r="C30" s="44"/>
    </row>
    <row r="31" spans="1:4">
      <c r="A31" t="s">
        <v>13</v>
      </c>
      <c r="B31" s="3" t="s">
        <v>700</v>
      </c>
      <c r="C31" s="3"/>
    </row>
    <row r="32" spans="1:4">
      <c r="B32" t="s">
        <v>701</v>
      </c>
      <c r="C32" s="44">
        <v>8.1299999999999997E-2</v>
      </c>
    </row>
    <row r="33" spans="1:3">
      <c r="B33" t="s">
        <v>702</v>
      </c>
      <c r="C33" s="44">
        <v>8.6599999999999996E-2</v>
      </c>
    </row>
    <row r="34" spans="1:3">
      <c r="B34" t="s">
        <v>703</v>
      </c>
      <c r="C34" s="44">
        <v>9.1999999999999998E-2</v>
      </c>
    </row>
    <row r="35" spans="1:3">
      <c r="C35" s="44"/>
    </row>
    <row r="36" spans="1:3">
      <c r="A36" t="s">
        <v>13</v>
      </c>
      <c r="B36" s="3" t="s">
        <v>704</v>
      </c>
      <c r="C36" s="3"/>
    </row>
    <row r="37" spans="1:3">
      <c r="B37" t="s">
        <v>705</v>
      </c>
      <c r="C37" s="44">
        <v>0.09</v>
      </c>
    </row>
    <row r="38" spans="1:3">
      <c r="B38" t="s">
        <v>706</v>
      </c>
      <c r="C38" s="44">
        <v>0.13500000000000001</v>
      </c>
    </row>
    <row r="39" spans="1:3">
      <c r="B39" t="s">
        <v>707</v>
      </c>
      <c r="C39" s="44">
        <v>6.7500000000000004E-2</v>
      </c>
    </row>
    <row r="42" spans="1:3">
      <c r="B42" t="s">
        <v>708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C54AD-C9C4-4991-A9EC-1EC56CCDB2D0}">
  <dimension ref="A2:O424"/>
  <sheetViews>
    <sheetView showGridLines="0" workbookViewId="0">
      <selection activeCell="H8" sqref="H8"/>
    </sheetView>
  </sheetViews>
  <sheetFormatPr baseColWidth="10" defaultColWidth="8.83203125" defaultRowHeight="15"/>
  <cols>
    <col min="1" max="1" width="2.83203125" customWidth="1"/>
    <col min="2" max="2" width="10.33203125" bestFit="1" customWidth="1"/>
  </cols>
  <sheetData>
    <row r="2" spans="1:15">
      <c r="A2" t="s">
        <v>13</v>
      </c>
      <c r="B2" t="s">
        <v>709</v>
      </c>
      <c r="C2" t="s">
        <v>710</v>
      </c>
      <c r="H2" s="3" t="s">
        <v>711</v>
      </c>
      <c r="I2" s="3"/>
      <c r="J2" s="3"/>
      <c r="K2" s="3"/>
      <c r="L2" s="3"/>
      <c r="M2" s="3"/>
      <c r="N2" s="3"/>
      <c r="O2" s="3"/>
    </row>
    <row r="3" spans="1:15">
      <c r="B3" s="7">
        <v>31413</v>
      </c>
      <c r="C3">
        <v>8.25</v>
      </c>
      <c r="E3">
        <v>8.5</v>
      </c>
      <c r="H3" s="130">
        <v>1991</v>
      </c>
      <c r="I3" s="14">
        <v>1992</v>
      </c>
      <c r="J3" s="14">
        <v>1993</v>
      </c>
      <c r="K3" s="14">
        <v>1994</v>
      </c>
      <c r="L3" s="14">
        <v>1995</v>
      </c>
      <c r="M3" s="14">
        <v>1996</v>
      </c>
      <c r="N3" s="14">
        <v>1997</v>
      </c>
      <c r="O3" s="130">
        <v>1998</v>
      </c>
    </row>
    <row r="4" spans="1:15">
      <c r="B4" s="7">
        <v>31444</v>
      </c>
      <c r="C4">
        <v>7.94</v>
      </c>
      <c r="E4">
        <v>7.94</v>
      </c>
      <c r="G4" t="s">
        <v>711</v>
      </c>
      <c r="H4" s="131">
        <f t="shared" ref="H4:O5" si="0">H8/100</f>
        <v>5.8341666666666674E-2</v>
      </c>
      <c r="I4" s="44">
        <f t="shared" si="0"/>
        <v>3.7858333333333341E-2</v>
      </c>
      <c r="J4" s="44">
        <f t="shared" si="0"/>
        <v>3.2208333333333339E-2</v>
      </c>
      <c r="K4" s="44">
        <f t="shared" si="0"/>
        <v>4.5733333333333334E-2</v>
      </c>
      <c r="L4" s="44">
        <f t="shared" si="0"/>
        <v>5.9783333333333327E-2</v>
      </c>
      <c r="M4" s="44">
        <f t="shared" si="0"/>
        <v>5.4458333333333338E-2</v>
      </c>
      <c r="N4" s="44">
        <f t="shared" si="0"/>
        <v>5.6916666666666671E-2</v>
      </c>
      <c r="O4" s="131">
        <f t="shared" si="0"/>
        <v>5.5475000000000003E-2</v>
      </c>
    </row>
    <row r="5" spans="1:15">
      <c r="B5" s="7">
        <v>31472</v>
      </c>
      <c r="C5">
        <v>7.5</v>
      </c>
      <c r="E5">
        <v>7.44</v>
      </c>
      <c r="G5" t="s">
        <v>712</v>
      </c>
      <c r="H5" s="131">
        <f t="shared" si="0"/>
        <v>6.0166666666666667E-2</v>
      </c>
      <c r="I5" s="44">
        <f t="shared" si="0"/>
        <v>4.2033333333333339E-2</v>
      </c>
      <c r="J5" s="44">
        <f t="shared" si="0"/>
        <v>3.6833333333333336E-2</v>
      </c>
      <c r="K5" s="44">
        <f t="shared" si="0"/>
        <v>6.0349999999999994E-2</v>
      </c>
      <c r="L5" s="44">
        <f t="shared" si="0"/>
        <v>6.0041666666666667E-2</v>
      </c>
      <c r="M5" s="44">
        <f t="shared" si="0"/>
        <v>5.8708333333333335E-2</v>
      </c>
      <c r="N5" s="44">
        <f t="shared" si="0"/>
        <v>5.9849999999999993E-2</v>
      </c>
      <c r="O5" s="131">
        <f t="shared" si="0"/>
        <v>5.4866666666666675E-2</v>
      </c>
    </row>
    <row r="6" spans="1:15">
      <c r="B6" s="7">
        <v>31503</v>
      </c>
      <c r="C6">
        <v>6.94</v>
      </c>
      <c r="E6">
        <v>6.94</v>
      </c>
    </row>
    <row r="7" spans="1:15">
      <c r="B7" s="7">
        <v>31533</v>
      </c>
      <c r="C7">
        <v>7.13</v>
      </c>
      <c r="E7">
        <v>7.38</v>
      </c>
    </row>
    <row r="8" spans="1:15">
      <c r="B8" s="7">
        <v>31564</v>
      </c>
      <c r="C8">
        <v>7.03</v>
      </c>
      <c r="E8">
        <v>6.94</v>
      </c>
      <c r="H8">
        <v>5.8341666666666674</v>
      </c>
      <c r="I8">
        <v>3.785833333333334</v>
      </c>
      <c r="J8">
        <v>3.2208333333333337</v>
      </c>
      <c r="K8">
        <v>4.5733333333333333</v>
      </c>
      <c r="L8">
        <v>5.9783333333333326</v>
      </c>
      <c r="M8">
        <v>5.4458333333333337</v>
      </c>
      <c r="N8">
        <v>5.6916666666666673</v>
      </c>
      <c r="O8">
        <v>5.5475000000000003</v>
      </c>
    </row>
    <row r="9" spans="1:15">
      <c r="B9" s="7">
        <v>31594</v>
      </c>
      <c r="C9">
        <v>6.56</v>
      </c>
      <c r="E9">
        <v>6.69</v>
      </c>
      <c r="H9">
        <v>6.0166666666666666</v>
      </c>
      <c r="I9">
        <v>4.203333333333334</v>
      </c>
      <c r="J9">
        <v>3.6833333333333336</v>
      </c>
      <c r="K9">
        <v>6.0349999999999993</v>
      </c>
      <c r="L9">
        <v>6.0041666666666664</v>
      </c>
      <c r="M9">
        <v>5.8708333333333336</v>
      </c>
      <c r="N9">
        <v>5.9849999999999994</v>
      </c>
      <c r="O9">
        <v>5.4866666666666672</v>
      </c>
    </row>
    <row r="10" spans="1:15">
      <c r="B10" s="7">
        <v>31625</v>
      </c>
      <c r="C10">
        <v>5.94</v>
      </c>
      <c r="E10">
        <v>5.88</v>
      </c>
    </row>
    <row r="11" spans="1:15">
      <c r="B11" s="7">
        <v>31656</v>
      </c>
      <c r="C11">
        <v>6.13</v>
      </c>
      <c r="E11">
        <v>6.31</v>
      </c>
    </row>
    <row r="12" spans="1:15">
      <c r="B12" s="7">
        <v>31686</v>
      </c>
      <c r="C12">
        <v>5.94</v>
      </c>
      <c r="E12">
        <v>6.05</v>
      </c>
    </row>
    <row r="13" spans="1:15">
      <c r="B13" s="7">
        <v>31717</v>
      </c>
      <c r="C13">
        <v>6.38</v>
      </c>
      <c r="E13">
        <v>6.13</v>
      </c>
    </row>
    <row r="14" spans="1:15">
      <c r="B14" s="7">
        <v>31747</v>
      </c>
      <c r="C14">
        <v>6.75</v>
      </c>
      <c r="E14">
        <v>6.31</v>
      </c>
    </row>
    <row r="15" spans="1:15">
      <c r="B15" s="7">
        <v>31778</v>
      </c>
      <c r="C15">
        <v>6.2</v>
      </c>
      <c r="E15">
        <v>6.25</v>
      </c>
    </row>
    <row r="16" spans="1:15">
      <c r="B16" s="7">
        <v>31809</v>
      </c>
      <c r="C16">
        <v>6.47</v>
      </c>
      <c r="E16">
        <v>6.56</v>
      </c>
    </row>
    <row r="17" spans="2:5">
      <c r="B17" s="7">
        <v>31837</v>
      </c>
      <c r="C17">
        <v>6.58</v>
      </c>
      <c r="E17">
        <v>6.81</v>
      </c>
    </row>
    <row r="18" spans="2:5">
      <c r="B18" s="7">
        <v>31868</v>
      </c>
      <c r="C18">
        <v>6.81</v>
      </c>
      <c r="E18">
        <v>7.81</v>
      </c>
    </row>
    <row r="19" spans="2:5">
      <c r="B19" s="7">
        <v>31898</v>
      </c>
      <c r="C19">
        <v>7.25</v>
      </c>
      <c r="E19">
        <v>8.06</v>
      </c>
    </row>
    <row r="20" spans="2:5">
      <c r="B20" s="7">
        <v>31929</v>
      </c>
      <c r="C20">
        <v>7.06</v>
      </c>
      <c r="E20">
        <v>7.75</v>
      </c>
    </row>
    <row r="21" spans="2:5">
      <c r="B21" s="7">
        <v>31959</v>
      </c>
      <c r="C21">
        <v>6.75</v>
      </c>
      <c r="E21">
        <v>7.69</v>
      </c>
    </row>
    <row r="22" spans="2:5">
      <c r="B22" s="7">
        <v>31990</v>
      </c>
      <c r="C22">
        <v>7.13</v>
      </c>
      <c r="E22">
        <v>7.94</v>
      </c>
    </row>
    <row r="23" spans="2:5">
      <c r="B23" s="7">
        <v>32021</v>
      </c>
      <c r="C23">
        <v>7.75</v>
      </c>
      <c r="E23">
        <v>9</v>
      </c>
    </row>
    <row r="24" spans="2:5">
      <c r="B24" s="7">
        <v>32051</v>
      </c>
      <c r="C24">
        <v>7.13</v>
      </c>
      <c r="E24">
        <v>8</v>
      </c>
    </row>
    <row r="25" spans="2:5">
      <c r="B25" s="7">
        <v>32082</v>
      </c>
      <c r="C25">
        <v>8.19</v>
      </c>
      <c r="E25">
        <v>8.31</v>
      </c>
    </row>
    <row r="26" spans="2:5">
      <c r="B26" s="7">
        <v>32112</v>
      </c>
      <c r="C26">
        <v>7.13</v>
      </c>
      <c r="E26">
        <v>7.88</v>
      </c>
    </row>
    <row r="27" spans="2:5">
      <c r="B27" s="7">
        <v>32143</v>
      </c>
      <c r="C27">
        <v>6.81</v>
      </c>
      <c r="E27">
        <v>7.38</v>
      </c>
    </row>
    <row r="28" spans="2:5">
      <c r="B28" s="7">
        <v>32174</v>
      </c>
      <c r="C28">
        <v>6.81</v>
      </c>
      <c r="E28">
        <v>7.25</v>
      </c>
    </row>
    <row r="29" spans="2:5">
      <c r="B29" s="7">
        <v>32203</v>
      </c>
      <c r="C29">
        <v>6.8</v>
      </c>
      <c r="E29">
        <v>7.56</v>
      </c>
    </row>
    <row r="30" spans="2:5">
      <c r="B30" s="7">
        <v>32234</v>
      </c>
      <c r="C30">
        <v>7.13</v>
      </c>
      <c r="E30">
        <v>8</v>
      </c>
    </row>
    <row r="31" spans="2:5">
      <c r="B31" s="7">
        <v>32264</v>
      </c>
      <c r="C31">
        <v>7.63</v>
      </c>
      <c r="E31">
        <v>8.5</v>
      </c>
    </row>
    <row r="32" spans="2:5">
      <c r="B32" s="7">
        <v>32295</v>
      </c>
      <c r="C32">
        <v>7.81</v>
      </c>
      <c r="E32">
        <v>8.3800000000000008</v>
      </c>
    </row>
    <row r="33" spans="2:5">
      <c r="B33" s="7">
        <v>32325</v>
      </c>
      <c r="C33">
        <v>8.1300000000000008</v>
      </c>
      <c r="E33">
        <v>8.8800000000000008</v>
      </c>
    </row>
    <row r="34" spans="2:5">
      <c r="B34" s="7">
        <v>32356</v>
      </c>
      <c r="C34">
        <v>8.3800000000000008</v>
      </c>
      <c r="E34">
        <v>9.19</v>
      </c>
    </row>
    <row r="35" spans="2:5">
      <c r="B35" s="7">
        <v>32387</v>
      </c>
      <c r="C35">
        <v>8.31</v>
      </c>
      <c r="E35">
        <v>8.94</v>
      </c>
    </row>
    <row r="36" spans="2:5">
      <c r="B36" s="7">
        <v>32417</v>
      </c>
      <c r="C36">
        <v>8.3800000000000008</v>
      </c>
      <c r="E36">
        <v>8.75</v>
      </c>
    </row>
    <row r="37" spans="2:5">
      <c r="B37" s="7">
        <v>32448</v>
      </c>
      <c r="C37">
        <v>9.56</v>
      </c>
      <c r="E37">
        <v>9.3800000000000008</v>
      </c>
    </row>
    <row r="38" spans="2:5">
      <c r="B38" s="7">
        <v>32478</v>
      </c>
      <c r="C38">
        <v>9.19</v>
      </c>
      <c r="E38">
        <v>9.6300000000000008</v>
      </c>
    </row>
    <row r="39" spans="2:5">
      <c r="B39" s="7">
        <v>32509</v>
      </c>
      <c r="C39">
        <v>9.25</v>
      </c>
      <c r="E39">
        <v>9.75</v>
      </c>
    </row>
    <row r="40" spans="2:5">
      <c r="B40" s="7">
        <v>32540</v>
      </c>
      <c r="C40">
        <v>10.06</v>
      </c>
      <c r="E40">
        <v>10.75</v>
      </c>
    </row>
    <row r="41" spans="2:5">
      <c r="B41" s="7">
        <v>32568</v>
      </c>
      <c r="C41">
        <v>10.06</v>
      </c>
      <c r="E41">
        <v>11.06</v>
      </c>
    </row>
    <row r="42" spans="2:5">
      <c r="B42" s="7">
        <v>32599</v>
      </c>
      <c r="C42">
        <v>9.8800000000000008</v>
      </c>
      <c r="E42">
        <v>10.130000000000001</v>
      </c>
    </row>
    <row r="43" spans="2:5">
      <c r="B43" s="7">
        <v>32629</v>
      </c>
      <c r="C43">
        <v>9.69</v>
      </c>
      <c r="E43">
        <v>9.5</v>
      </c>
    </row>
    <row r="44" spans="2:5">
      <c r="B44" s="7">
        <v>32660</v>
      </c>
      <c r="C44">
        <v>9.44</v>
      </c>
      <c r="E44">
        <v>9</v>
      </c>
    </row>
    <row r="45" spans="2:5">
      <c r="B45" s="7">
        <v>32690</v>
      </c>
      <c r="C45">
        <v>8.69</v>
      </c>
      <c r="E45">
        <v>8.25</v>
      </c>
    </row>
    <row r="46" spans="2:5">
      <c r="B46" s="7">
        <v>32721</v>
      </c>
      <c r="C46">
        <v>9</v>
      </c>
      <c r="E46">
        <v>8.94</v>
      </c>
    </row>
    <row r="47" spans="2:5">
      <c r="B47" s="7">
        <v>32752</v>
      </c>
      <c r="C47">
        <v>9.1300000000000008</v>
      </c>
      <c r="E47">
        <v>9.06</v>
      </c>
    </row>
    <row r="48" spans="2:5">
      <c r="B48" s="7">
        <v>32782</v>
      </c>
      <c r="C48">
        <v>8.75</v>
      </c>
      <c r="E48">
        <v>8.44</v>
      </c>
    </row>
    <row r="49" spans="2:5">
      <c r="B49" s="7">
        <v>32813</v>
      </c>
      <c r="C49">
        <v>8.81</v>
      </c>
      <c r="E49">
        <v>8.25</v>
      </c>
    </row>
    <row r="50" spans="2:5">
      <c r="B50" s="7">
        <v>32843</v>
      </c>
      <c r="C50">
        <v>8.5</v>
      </c>
      <c r="E50">
        <v>8.25</v>
      </c>
    </row>
    <row r="51" spans="2:5">
      <c r="B51" s="7">
        <v>32874</v>
      </c>
      <c r="C51">
        <v>8.31</v>
      </c>
      <c r="E51">
        <v>8.69</v>
      </c>
    </row>
    <row r="52" spans="2:5">
      <c r="B52" s="7">
        <v>32905</v>
      </c>
      <c r="C52">
        <v>8.3800000000000008</v>
      </c>
      <c r="E52">
        <v>8.69</v>
      </c>
    </row>
    <row r="53" spans="2:5">
      <c r="B53" s="7">
        <v>32933</v>
      </c>
      <c r="C53">
        <v>8.3800000000000008</v>
      </c>
      <c r="E53">
        <v>8.94</v>
      </c>
    </row>
    <row r="54" spans="2:5">
      <c r="B54" s="7">
        <v>32964</v>
      </c>
      <c r="C54">
        <v>8.5</v>
      </c>
      <c r="E54">
        <v>9.25</v>
      </c>
    </row>
    <row r="55" spans="2:5">
      <c r="B55" s="7">
        <v>32994</v>
      </c>
      <c r="C55">
        <v>8.31</v>
      </c>
      <c r="E55">
        <v>8.75</v>
      </c>
    </row>
    <row r="56" spans="2:5">
      <c r="B56" s="7">
        <v>33025</v>
      </c>
      <c r="C56">
        <v>8.31</v>
      </c>
      <c r="E56">
        <v>8.44</v>
      </c>
    </row>
    <row r="57" spans="2:5">
      <c r="B57" s="7">
        <v>33055</v>
      </c>
      <c r="C57">
        <v>8</v>
      </c>
      <c r="E57">
        <v>8</v>
      </c>
    </row>
    <row r="58" spans="2:5">
      <c r="B58" s="7">
        <v>33086</v>
      </c>
      <c r="C58">
        <v>8.06</v>
      </c>
      <c r="E58">
        <v>8.25</v>
      </c>
    </row>
    <row r="59" spans="2:5">
      <c r="B59" s="7">
        <v>33117</v>
      </c>
      <c r="C59">
        <v>8.27</v>
      </c>
      <c r="E59">
        <v>8.44</v>
      </c>
    </row>
    <row r="60" spans="2:5">
      <c r="B60" s="7">
        <v>33147</v>
      </c>
      <c r="C60">
        <v>7.94</v>
      </c>
      <c r="E60">
        <v>8.1300000000000008</v>
      </c>
    </row>
    <row r="61" spans="2:5">
      <c r="B61" s="7">
        <v>33178</v>
      </c>
      <c r="C61">
        <v>8.6300000000000008</v>
      </c>
      <c r="E61">
        <v>8</v>
      </c>
    </row>
    <row r="62" spans="2:5">
      <c r="B62" s="7">
        <v>33208</v>
      </c>
      <c r="C62">
        <v>7.63</v>
      </c>
      <c r="E62">
        <v>7.56</v>
      </c>
    </row>
    <row r="63" spans="2:5">
      <c r="B63" s="7"/>
      <c r="E63">
        <v>7.25</v>
      </c>
    </row>
    <row r="64" spans="2:5">
      <c r="B64" s="7">
        <v>33239</v>
      </c>
      <c r="C64">
        <v>6.94</v>
      </c>
      <c r="E64">
        <v>7.06</v>
      </c>
    </row>
    <row r="65" spans="2:6">
      <c r="B65" s="7">
        <v>33270</v>
      </c>
      <c r="C65">
        <v>7</v>
      </c>
      <c r="E65">
        <v>7</v>
      </c>
    </row>
    <row r="66" spans="2:6">
      <c r="B66" s="7">
        <v>33298</v>
      </c>
      <c r="C66">
        <v>6.31</v>
      </c>
      <c r="E66">
        <v>6.75</v>
      </c>
    </row>
    <row r="67" spans="2:6">
      <c r="B67" s="7">
        <v>33329</v>
      </c>
      <c r="C67">
        <v>6.06</v>
      </c>
      <c r="E67">
        <v>6.63</v>
      </c>
    </row>
    <row r="68" spans="2:6">
      <c r="B68" s="7">
        <v>33359</v>
      </c>
      <c r="C68">
        <v>5.94</v>
      </c>
      <c r="E68">
        <v>7</v>
      </c>
    </row>
    <row r="69" spans="2:6">
      <c r="B69" s="7">
        <v>33390</v>
      </c>
      <c r="C69">
        <v>6.06</v>
      </c>
      <c r="E69">
        <v>6.63</v>
      </c>
    </row>
    <row r="70" spans="2:6">
      <c r="B70" s="7">
        <v>33420</v>
      </c>
      <c r="C70">
        <v>5.94</v>
      </c>
      <c r="E70">
        <v>6</v>
      </c>
    </row>
    <row r="71" spans="2:6">
      <c r="B71" s="7">
        <v>33451</v>
      </c>
      <c r="C71">
        <v>5.69</v>
      </c>
      <c r="E71">
        <v>5.75</v>
      </c>
    </row>
    <row r="72" spans="2:6">
      <c r="B72" s="7">
        <v>33482</v>
      </c>
      <c r="C72">
        <v>5.44</v>
      </c>
      <c r="E72">
        <v>5.38</v>
      </c>
    </row>
    <row r="73" spans="2:6">
      <c r="B73" s="7">
        <v>33512</v>
      </c>
      <c r="C73">
        <v>5.13</v>
      </c>
      <c r="E73">
        <v>5</v>
      </c>
    </row>
    <row r="74" spans="2:6">
      <c r="B74" s="7">
        <v>33543</v>
      </c>
      <c r="C74">
        <v>5.19</v>
      </c>
      <c r="E74">
        <v>4.3099999999999996</v>
      </c>
    </row>
    <row r="75" spans="2:6">
      <c r="B75" s="7">
        <v>33573</v>
      </c>
      <c r="C75">
        <v>4.3099999999999996</v>
      </c>
      <c r="D75">
        <f>AVERAGE(C64:C75)</f>
        <v>5.8341666666666674</v>
      </c>
      <c r="E75">
        <v>4.6900000000000004</v>
      </c>
      <c r="F75">
        <f>AVERAGE(E64:E75)</f>
        <v>6.0166666666666666</v>
      </c>
    </row>
    <row r="76" spans="2:6">
      <c r="B76" s="7">
        <v>33604</v>
      </c>
      <c r="C76">
        <v>4.1900000000000004</v>
      </c>
      <c r="E76">
        <v>4.75</v>
      </c>
    </row>
    <row r="77" spans="2:6">
      <c r="B77" s="7">
        <v>33635</v>
      </c>
      <c r="C77">
        <v>4.25</v>
      </c>
      <c r="E77">
        <v>5.0599999999999996</v>
      </c>
    </row>
    <row r="78" spans="2:6">
      <c r="B78" s="7">
        <v>33664</v>
      </c>
      <c r="C78">
        <v>4.25</v>
      </c>
      <c r="E78">
        <v>4.75</v>
      </c>
    </row>
    <row r="79" spans="2:6">
      <c r="B79" s="7">
        <v>33695</v>
      </c>
      <c r="C79">
        <v>3.94</v>
      </c>
      <c r="E79">
        <v>4.6900000000000004</v>
      </c>
    </row>
    <row r="80" spans="2:6">
      <c r="B80" s="7">
        <v>33725</v>
      </c>
      <c r="C80">
        <v>4</v>
      </c>
      <c r="E80">
        <v>4.3099999999999996</v>
      </c>
    </row>
    <row r="81" spans="2:6">
      <c r="B81" s="7">
        <v>33756</v>
      </c>
      <c r="C81">
        <v>3.94</v>
      </c>
      <c r="E81">
        <v>3.81</v>
      </c>
    </row>
    <row r="82" spans="2:6">
      <c r="B82" s="7">
        <v>33786</v>
      </c>
      <c r="C82">
        <v>3.38</v>
      </c>
      <c r="E82">
        <v>3.75</v>
      </c>
    </row>
    <row r="83" spans="2:6">
      <c r="B83" s="7">
        <v>33817</v>
      </c>
      <c r="C83">
        <v>3.48</v>
      </c>
      <c r="E83">
        <v>3.38</v>
      </c>
    </row>
    <row r="84" spans="2:6">
      <c r="B84" s="7">
        <v>33848</v>
      </c>
      <c r="C84">
        <v>3.19</v>
      </c>
      <c r="E84">
        <v>3.88</v>
      </c>
    </row>
    <row r="85" spans="2:6">
      <c r="B85" s="7">
        <v>33878</v>
      </c>
      <c r="C85">
        <v>3.25</v>
      </c>
      <c r="E85">
        <v>4.3099999999999996</v>
      </c>
    </row>
    <row r="86" spans="2:6">
      <c r="B86" s="7">
        <v>33909</v>
      </c>
      <c r="C86">
        <v>4.25</v>
      </c>
      <c r="E86">
        <v>4.0599999999999996</v>
      </c>
    </row>
    <row r="87" spans="2:6">
      <c r="B87" s="7">
        <v>33939</v>
      </c>
      <c r="C87">
        <v>3.31</v>
      </c>
      <c r="D87">
        <f>AVERAGE(C76:C87)</f>
        <v>3.785833333333334</v>
      </c>
      <c r="E87">
        <v>3.69</v>
      </c>
      <c r="F87">
        <f>AVERAGE(E76:E87)</f>
        <v>4.203333333333334</v>
      </c>
    </row>
    <row r="88" spans="2:6">
      <c r="B88" s="7">
        <v>33970</v>
      </c>
      <c r="C88">
        <v>3.13</v>
      </c>
      <c r="E88">
        <v>3.63</v>
      </c>
    </row>
    <row r="89" spans="2:6">
      <c r="B89" s="7">
        <v>34001</v>
      </c>
      <c r="C89">
        <v>3.19</v>
      </c>
      <c r="E89">
        <v>3.63</v>
      </c>
    </row>
    <row r="90" spans="2:6">
      <c r="B90" s="7">
        <v>34029</v>
      </c>
      <c r="C90">
        <v>3.19</v>
      </c>
      <c r="E90">
        <v>3.5</v>
      </c>
    </row>
    <row r="91" spans="2:6">
      <c r="B91" s="7">
        <v>34060</v>
      </c>
      <c r="C91">
        <v>3.13</v>
      </c>
      <c r="E91">
        <v>3.88</v>
      </c>
    </row>
    <row r="92" spans="2:6">
      <c r="B92" s="7">
        <v>34090</v>
      </c>
      <c r="C92">
        <v>3.25</v>
      </c>
      <c r="E92">
        <v>3.75</v>
      </c>
    </row>
    <row r="93" spans="2:6">
      <c r="B93" s="7">
        <v>34121</v>
      </c>
      <c r="C93">
        <v>3.19</v>
      </c>
      <c r="E93">
        <v>3.75</v>
      </c>
    </row>
    <row r="94" spans="2:6">
      <c r="B94" s="7">
        <v>34151</v>
      </c>
      <c r="C94">
        <v>3.19</v>
      </c>
      <c r="E94">
        <v>3.56</v>
      </c>
    </row>
    <row r="95" spans="2:6">
      <c r="B95" s="7">
        <v>34182</v>
      </c>
      <c r="C95">
        <v>3.19</v>
      </c>
      <c r="E95">
        <v>3.56</v>
      </c>
    </row>
    <row r="96" spans="2:6">
      <c r="B96" s="7">
        <v>34213</v>
      </c>
      <c r="C96">
        <v>3.19</v>
      </c>
      <c r="E96">
        <v>3.63</v>
      </c>
    </row>
    <row r="97" spans="2:6">
      <c r="B97" s="7">
        <v>34243</v>
      </c>
      <c r="C97">
        <v>3.19</v>
      </c>
      <c r="E97">
        <v>3.81</v>
      </c>
    </row>
    <row r="98" spans="2:6">
      <c r="B98" s="7">
        <v>34274</v>
      </c>
      <c r="C98">
        <v>3.56</v>
      </c>
      <c r="E98">
        <v>3.81</v>
      </c>
    </row>
    <row r="99" spans="2:6">
      <c r="B99" s="7">
        <v>34304</v>
      </c>
      <c r="C99">
        <v>3.25</v>
      </c>
      <c r="D99">
        <f>AVERAGE(C88:C99)</f>
        <v>3.2208333333333337</v>
      </c>
      <c r="E99">
        <v>3.69</v>
      </c>
      <c r="F99">
        <f>AVERAGE(E88:E99)</f>
        <v>3.6833333333333336</v>
      </c>
    </row>
    <row r="100" spans="2:6">
      <c r="B100" s="7">
        <v>34335</v>
      </c>
      <c r="C100">
        <v>3.13</v>
      </c>
      <c r="E100">
        <v>4.3099999999999996</v>
      </c>
    </row>
    <row r="101" spans="2:6">
      <c r="B101" s="7">
        <v>34366</v>
      </c>
      <c r="C101">
        <v>3.56</v>
      </c>
      <c r="E101">
        <v>4.75</v>
      </c>
    </row>
    <row r="102" spans="2:6">
      <c r="B102" s="7">
        <v>34394</v>
      </c>
      <c r="C102">
        <v>3.69</v>
      </c>
      <c r="E102">
        <v>5.31</v>
      </c>
    </row>
    <row r="103" spans="2:6">
      <c r="B103" s="7">
        <v>34425</v>
      </c>
      <c r="C103">
        <v>4</v>
      </c>
      <c r="E103">
        <v>5.56</v>
      </c>
    </row>
    <row r="104" spans="2:6">
      <c r="B104" s="7">
        <v>34455</v>
      </c>
      <c r="C104">
        <v>4.38</v>
      </c>
      <c r="E104">
        <v>5.81</v>
      </c>
    </row>
    <row r="105" spans="2:6">
      <c r="B105" s="7">
        <v>34486</v>
      </c>
      <c r="C105">
        <v>4.5599999999999996</v>
      </c>
      <c r="E105">
        <v>5.81</v>
      </c>
    </row>
    <row r="106" spans="2:6">
      <c r="B106" s="7">
        <v>34516</v>
      </c>
      <c r="C106">
        <v>4.5</v>
      </c>
      <c r="E106">
        <v>5.81</v>
      </c>
    </row>
    <row r="107" spans="2:6">
      <c r="B107" s="7">
        <v>34547</v>
      </c>
      <c r="C107">
        <v>4.88</v>
      </c>
      <c r="E107">
        <v>6.31</v>
      </c>
    </row>
    <row r="108" spans="2:6">
      <c r="B108" s="7">
        <v>34578</v>
      </c>
      <c r="C108">
        <v>5.0599999999999996</v>
      </c>
      <c r="E108">
        <v>6.5</v>
      </c>
    </row>
    <row r="109" spans="2:6">
      <c r="B109" s="7">
        <v>34608</v>
      </c>
      <c r="C109">
        <v>5.0599999999999996</v>
      </c>
      <c r="E109">
        <v>7.25</v>
      </c>
    </row>
    <row r="110" spans="2:6">
      <c r="B110" s="7">
        <v>34639</v>
      </c>
      <c r="C110">
        <v>6.06</v>
      </c>
      <c r="E110">
        <v>7.75</v>
      </c>
    </row>
    <row r="111" spans="2:6">
      <c r="B111" s="7">
        <v>34669</v>
      </c>
      <c r="C111">
        <v>6</v>
      </c>
      <c r="D111">
        <f>AVERAGE(C100:C111)</f>
        <v>4.5733333333333333</v>
      </c>
      <c r="E111">
        <v>7.25</v>
      </c>
      <c r="F111">
        <f>AVERAGE(E100:E111)</f>
        <v>6.0349999999999993</v>
      </c>
    </row>
    <row r="112" spans="2:6">
      <c r="B112" s="7">
        <v>34700</v>
      </c>
      <c r="C112">
        <v>6.09</v>
      </c>
      <c r="E112">
        <v>6.75</v>
      </c>
    </row>
    <row r="113" spans="2:6">
      <c r="B113" s="7">
        <v>34731</v>
      </c>
      <c r="C113">
        <v>6.13</v>
      </c>
      <c r="E113">
        <v>6.81</v>
      </c>
    </row>
    <row r="114" spans="2:6">
      <c r="B114" s="7">
        <v>34759</v>
      </c>
      <c r="C114">
        <v>6.13</v>
      </c>
      <c r="E114">
        <v>6.63</v>
      </c>
    </row>
    <row r="115" spans="2:6">
      <c r="B115" s="7">
        <v>34790</v>
      </c>
      <c r="C115">
        <v>6.06</v>
      </c>
      <c r="E115">
        <v>6</v>
      </c>
    </row>
    <row r="116" spans="2:6">
      <c r="B116" s="7">
        <v>34820</v>
      </c>
      <c r="C116">
        <v>6.06</v>
      </c>
      <c r="E116">
        <v>5.98</v>
      </c>
    </row>
    <row r="117" spans="2:6">
      <c r="B117" s="7">
        <v>34851</v>
      </c>
      <c r="C117">
        <v>6.13</v>
      </c>
      <c r="E117">
        <v>5.94</v>
      </c>
    </row>
    <row r="118" spans="2:6">
      <c r="B118" s="7">
        <v>34881</v>
      </c>
      <c r="C118">
        <v>5.88</v>
      </c>
      <c r="E118">
        <v>5.94</v>
      </c>
    </row>
    <row r="119" spans="2:6">
      <c r="B119" s="7">
        <v>34912</v>
      </c>
      <c r="C119">
        <v>5.88</v>
      </c>
      <c r="E119">
        <v>6</v>
      </c>
    </row>
    <row r="120" spans="2:6">
      <c r="B120" s="7">
        <v>34943</v>
      </c>
      <c r="C120">
        <v>5.88</v>
      </c>
      <c r="E120">
        <v>5.81</v>
      </c>
    </row>
    <row r="121" spans="2:6">
      <c r="B121" s="7">
        <v>34973</v>
      </c>
      <c r="C121">
        <v>5.83</v>
      </c>
      <c r="E121">
        <v>5.63</v>
      </c>
    </row>
    <row r="122" spans="2:6">
      <c r="B122" s="7">
        <v>35004</v>
      </c>
      <c r="C122">
        <v>5.98</v>
      </c>
      <c r="E122">
        <v>5.43</v>
      </c>
    </row>
    <row r="123" spans="2:6">
      <c r="B123" s="7">
        <v>35034</v>
      </c>
      <c r="C123">
        <v>5.69</v>
      </c>
      <c r="D123">
        <f>AVERAGE(C112:C123)</f>
        <v>5.9783333333333326</v>
      </c>
      <c r="E123">
        <v>5.13</v>
      </c>
      <c r="F123">
        <f>AVERAGE(E112:E123)</f>
        <v>6.0041666666666664</v>
      </c>
    </row>
    <row r="124" spans="2:6">
      <c r="B124" s="7">
        <v>35065</v>
      </c>
      <c r="C124">
        <v>5.44</v>
      </c>
      <c r="E124">
        <v>5.31</v>
      </c>
    </row>
    <row r="125" spans="2:6">
      <c r="B125" s="7">
        <v>35096</v>
      </c>
      <c r="C125">
        <v>5.31</v>
      </c>
      <c r="E125">
        <v>5.72</v>
      </c>
    </row>
    <row r="126" spans="2:6">
      <c r="B126" s="7">
        <v>35125</v>
      </c>
      <c r="C126">
        <v>5.44</v>
      </c>
      <c r="E126">
        <v>5.81</v>
      </c>
    </row>
    <row r="127" spans="2:6">
      <c r="B127" s="7">
        <v>35156</v>
      </c>
      <c r="C127">
        <v>5.44</v>
      </c>
      <c r="E127">
        <v>6</v>
      </c>
    </row>
    <row r="128" spans="2:6">
      <c r="B128" s="7">
        <v>35186</v>
      </c>
      <c r="C128">
        <v>5.44</v>
      </c>
      <c r="E128">
        <v>6.13</v>
      </c>
    </row>
    <row r="129" spans="2:6">
      <c r="B129" s="7">
        <v>35217</v>
      </c>
      <c r="C129">
        <v>5.5</v>
      </c>
      <c r="E129">
        <v>6.22</v>
      </c>
    </row>
    <row r="130" spans="2:6">
      <c r="B130" s="7">
        <v>35247</v>
      </c>
      <c r="C130">
        <v>5.47</v>
      </c>
      <c r="E130">
        <v>6.1</v>
      </c>
    </row>
    <row r="131" spans="2:6">
      <c r="B131" s="7">
        <v>35278</v>
      </c>
      <c r="C131">
        <v>5.44</v>
      </c>
      <c r="E131">
        <v>5.99</v>
      </c>
    </row>
    <row r="132" spans="2:6">
      <c r="B132" s="7">
        <v>35309</v>
      </c>
      <c r="C132">
        <v>5.43</v>
      </c>
      <c r="E132">
        <v>5.75</v>
      </c>
    </row>
    <row r="133" spans="2:6">
      <c r="B133" s="7">
        <v>35339</v>
      </c>
      <c r="C133">
        <v>5.38</v>
      </c>
      <c r="E133">
        <v>5.69</v>
      </c>
    </row>
    <row r="134" spans="2:6">
      <c r="B134" s="7">
        <v>35370</v>
      </c>
      <c r="C134">
        <v>5.56</v>
      </c>
      <c r="E134">
        <v>5.79</v>
      </c>
    </row>
    <row r="135" spans="2:6">
      <c r="B135" s="7">
        <v>35400</v>
      </c>
      <c r="C135">
        <v>5.5</v>
      </c>
      <c r="D135">
        <f>AVERAGE(C124:C135)</f>
        <v>5.4458333333333337</v>
      </c>
      <c r="E135">
        <v>5.94</v>
      </c>
      <c r="F135">
        <f>AVERAGE(E124:E135)</f>
        <v>5.8708333333333336</v>
      </c>
    </row>
    <row r="136" spans="2:6">
      <c r="B136" s="7">
        <v>35431</v>
      </c>
      <c r="C136">
        <v>5.44</v>
      </c>
      <c r="E136">
        <v>5.97</v>
      </c>
    </row>
    <row r="137" spans="2:6">
      <c r="B137" s="7">
        <v>35462</v>
      </c>
      <c r="C137">
        <v>5.44</v>
      </c>
      <c r="E137">
        <v>6.27</v>
      </c>
    </row>
    <row r="138" spans="2:6">
      <c r="B138" s="7">
        <v>35490</v>
      </c>
      <c r="C138">
        <v>5.69</v>
      </c>
      <c r="E138">
        <v>6.31</v>
      </c>
    </row>
    <row r="139" spans="2:6">
      <c r="B139" s="7">
        <v>35521</v>
      </c>
      <c r="C139">
        <v>5.69</v>
      </c>
      <c r="E139">
        <v>6.26</v>
      </c>
    </row>
    <row r="140" spans="2:6">
      <c r="B140" s="7">
        <v>35551</v>
      </c>
      <c r="C140">
        <v>5.69</v>
      </c>
      <c r="E140">
        <v>5.48</v>
      </c>
    </row>
    <row r="141" spans="2:6">
      <c r="B141" s="7">
        <v>35582</v>
      </c>
      <c r="C141">
        <v>6.06</v>
      </c>
      <c r="E141">
        <v>5.94</v>
      </c>
    </row>
    <row r="142" spans="2:6">
      <c r="B142" s="7">
        <v>35612</v>
      </c>
      <c r="C142">
        <v>5.63</v>
      </c>
      <c r="E142">
        <v>6.03</v>
      </c>
    </row>
    <row r="143" spans="2:6">
      <c r="B143" s="7">
        <v>35643</v>
      </c>
      <c r="C143">
        <v>5.66</v>
      </c>
      <c r="E143">
        <v>6</v>
      </c>
    </row>
    <row r="144" spans="2:6">
      <c r="B144" s="7">
        <v>35674</v>
      </c>
      <c r="C144">
        <v>5.66</v>
      </c>
      <c r="E144">
        <v>5.92</v>
      </c>
    </row>
    <row r="145" spans="2:6">
      <c r="B145" s="7">
        <v>35704</v>
      </c>
      <c r="C145">
        <v>5.65</v>
      </c>
      <c r="E145">
        <v>6.01</v>
      </c>
    </row>
    <row r="146" spans="2:6">
      <c r="B146" s="7">
        <v>35735</v>
      </c>
      <c r="C146">
        <v>5.97</v>
      </c>
      <c r="E146">
        <v>5.97</v>
      </c>
    </row>
    <row r="147" spans="2:6">
      <c r="B147" s="7">
        <v>35765</v>
      </c>
      <c r="C147">
        <v>5.72</v>
      </c>
      <c r="D147">
        <f>AVERAGE(C136:C147)</f>
        <v>5.6916666666666673</v>
      </c>
      <c r="E147">
        <v>5.66</v>
      </c>
      <c r="F147">
        <f>AVERAGE(E136:E147)</f>
        <v>5.9849999999999994</v>
      </c>
    </row>
    <row r="148" spans="2:6">
      <c r="B148" s="7">
        <v>35796</v>
      </c>
      <c r="C148">
        <v>5.6</v>
      </c>
      <c r="E148">
        <v>5.79</v>
      </c>
    </row>
    <row r="149" spans="2:6">
      <c r="B149" s="7">
        <v>35827</v>
      </c>
      <c r="C149">
        <v>5.69</v>
      </c>
      <c r="E149">
        <v>5.89</v>
      </c>
    </row>
    <row r="150" spans="2:6">
      <c r="B150" s="7">
        <v>35855</v>
      </c>
      <c r="C150">
        <v>5.69</v>
      </c>
      <c r="E150">
        <v>5.99</v>
      </c>
    </row>
    <row r="151" spans="2:6">
      <c r="B151" s="7">
        <v>35886</v>
      </c>
      <c r="C151">
        <v>5.66</v>
      </c>
      <c r="E151">
        <v>5.88</v>
      </c>
    </row>
    <row r="152" spans="2:6">
      <c r="B152" s="7">
        <v>35916</v>
      </c>
      <c r="C152">
        <v>5.66</v>
      </c>
      <c r="E152">
        <v>5.84</v>
      </c>
    </row>
    <row r="153" spans="2:6">
      <c r="B153" s="7">
        <v>35947</v>
      </c>
      <c r="C153">
        <v>5.66</v>
      </c>
      <c r="E153">
        <v>5.82</v>
      </c>
    </row>
    <row r="154" spans="2:6">
      <c r="B154" s="7">
        <v>35977</v>
      </c>
      <c r="C154">
        <v>5.66</v>
      </c>
      <c r="E154">
        <v>5.53</v>
      </c>
    </row>
    <row r="155" spans="2:6">
      <c r="B155" s="7">
        <v>36008</v>
      </c>
      <c r="C155">
        <v>5.65</v>
      </c>
      <c r="E155">
        <v>5.0599999999999996</v>
      </c>
    </row>
    <row r="156" spans="2:6">
      <c r="B156" s="7">
        <v>36039</v>
      </c>
      <c r="C156">
        <v>5.38</v>
      </c>
      <c r="E156">
        <v>4.75</v>
      </c>
    </row>
    <row r="157" spans="2:6">
      <c r="B157" s="7">
        <v>36069</v>
      </c>
      <c r="C157">
        <v>5.24</v>
      </c>
      <c r="E157">
        <v>5.13</v>
      </c>
    </row>
    <row r="158" spans="2:6">
      <c r="B158" s="7">
        <v>36100</v>
      </c>
      <c r="C158">
        <v>5.62</v>
      </c>
      <c r="E158">
        <v>5.0999999999999996</v>
      </c>
    </row>
    <row r="159" spans="2:6">
      <c r="B159" s="7">
        <v>36130</v>
      </c>
      <c r="C159">
        <v>5.0599999999999996</v>
      </c>
      <c r="D159">
        <f>AVERAGE(C148:C159)</f>
        <v>5.5475000000000003</v>
      </c>
      <c r="E159">
        <v>5.0599999999999996</v>
      </c>
      <c r="F159">
        <f>AVERAGE(E148:E159)</f>
        <v>5.4866666666666672</v>
      </c>
    </row>
    <row r="160" spans="2:6">
      <c r="B160" s="7">
        <v>36161</v>
      </c>
      <c r="C160">
        <v>4.9400000000000004</v>
      </c>
      <c r="E160">
        <v>5.39</v>
      </c>
    </row>
    <row r="161" spans="2:5">
      <c r="B161" s="7">
        <v>36192</v>
      </c>
      <c r="C161">
        <v>4.96</v>
      </c>
      <c r="E161">
        <v>5.25</v>
      </c>
    </row>
    <row r="162" spans="2:5">
      <c r="B162" s="7">
        <v>36220</v>
      </c>
      <c r="C162">
        <v>4.9400000000000004</v>
      </c>
      <c r="E162">
        <v>5.23</v>
      </c>
    </row>
    <row r="163" spans="2:5">
      <c r="B163" s="7">
        <v>36251</v>
      </c>
      <c r="C163">
        <v>4.9000000000000004</v>
      </c>
      <c r="E163">
        <v>5.56</v>
      </c>
    </row>
    <row r="164" spans="2:5">
      <c r="B164" s="7">
        <v>36281</v>
      </c>
      <c r="C164">
        <v>4.9400000000000004</v>
      </c>
      <c r="E164">
        <v>5.84</v>
      </c>
    </row>
    <row r="165" spans="2:5">
      <c r="B165" s="7">
        <v>36312</v>
      </c>
      <c r="C165">
        <v>5.24</v>
      </c>
      <c r="E165">
        <v>5.89</v>
      </c>
    </row>
    <row r="166" spans="2:5">
      <c r="B166" s="7">
        <v>36342</v>
      </c>
      <c r="C166">
        <v>5.19</v>
      </c>
      <c r="E166">
        <v>6.06</v>
      </c>
    </row>
    <row r="167" spans="2:5">
      <c r="B167" s="7">
        <v>36373</v>
      </c>
      <c r="C167">
        <v>5.38</v>
      </c>
      <c r="E167">
        <v>6.04</v>
      </c>
    </row>
    <row r="168" spans="2:5">
      <c r="B168" s="7">
        <v>36404</v>
      </c>
      <c r="C168">
        <v>5.4</v>
      </c>
      <c r="E168">
        <v>6.25</v>
      </c>
    </row>
    <row r="169" spans="2:5">
      <c r="B169" s="7">
        <v>36434</v>
      </c>
      <c r="C169">
        <v>5.41</v>
      </c>
      <c r="E169">
        <v>6.29</v>
      </c>
    </row>
    <row r="170" spans="2:5">
      <c r="B170" s="7">
        <v>36465</v>
      </c>
      <c r="C170">
        <v>6.48</v>
      </c>
      <c r="E170">
        <v>6.5</v>
      </c>
    </row>
    <row r="171" spans="2:5">
      <c r="B171" s="7">
        <v>36495</v>
      </c>
      <c r="C171">
        <v>5.83</v>
      </c>
      <c r="E171">
        <v>6.75</v>
      </c>
    </row>
    <row r="172" spans="2:5">
      <c r="B172" s="7">
        <v>36526</v>
      </c>
      <c r="C172">
        <v>5.89</v>
      </c>
      <c r="E172">
        <v>6.76</v>
      </c>
    </row>
    <row r="173" spans="2:5">
      <c r="B173" s="7">
        <v>36557</v>
      </c>
      <c r="C173">
        <v>5.92</v>
      </c>
      <c r="E173">
        <v>6.94</v>
      </c>
    </row>
    <row r="174" spans="2:5">
      <c r="B174" s="7">
        <v>36586</v>
      </c>
      <c r="C174">
        <v>6.13</v>
      </c>
      <c r="E174">
        <v>7.1</v>
      </c>
    </row>
    <row r="175" spans="2:5">
      <c r="B175" s="7">
        <v>36617</v>
      </c>
      <c r="C175">
        <v>6.29</v>
      </c>
      <c r="E175">
        <v>7.5</v>
      </c>
    </row>
    <row r="176" spans="2:5">
      <c r="B176" s="7">
        <v>36647</v>
      </c>
      <c r="C176">
        <v>6.65</v>
      </c>
      <c r="E176">
        <v>7.18</v>
      </c>
    </row>
    <row r="177" spans="2:5">
      <c r="B177" s="7">
        <v>36678</v>
      </c>
      <c r="C177">
        <v>6.64</v>
      </c>
      <c r="E177">
        <v>7.08</v>
      </c>
    </row>
    <row r="178" spans="2:5">
      <c r="B178" s="7">
        <v>36708</v>
      </c>
      <c r="C178">
        <v>6.62</v>
      </c>
      <c r="E178">
        <v>6.97</v>
      </c>
    </row>
    <row r="179" spans="2:5">
      <c r="B179" s="7">
        <v>36739</v>
      </c>
      <c r="C179">
        <v>6.63</v>
      </c>
      <c r="E179">
        <v>6.8</v>
      </c>
    </row>
    <row r="180" spans="2:5">
      <c r="B180" s="7">
        <v>36770</v>
      </c>
      <c r="C180">
        <v>6.62</v>
      </c>
      <c r="E180">
        <v>6.73</v>
      </c>
    </row>
    <row r="181" spans="2:5">
      <c r="B181" s="7">
        <v>36800</v>
      </c>
      <c r="C181">
        <v>6.62</v>
      </c>
      <c r="E181">
        <v>6.56</v>
      </c>
    </row>
    <row r="182" spans="2:5">
      <c r="B182" s="7">
        <v>36831</v>
      </c>
      <c r="C182">
        <v>6.8</v>
      </c>
      <c r="E182">
        <v>6</v>
      </c>
    </row>
    <row r="183" spans="2:5">
      <c r="B183" s="7">
        <v>36861</v>
      </c>
      <c r="C183">
        <v>6.56</v>
      </c>
      <c r="E183">
        <v>5.17</v>
      </c>
    </row>
    <row r="184" spans="2:5">
      <c r="B184" s="7">
        <v>36892</v>
      </c>
      <c r="C184">
        <v>5.57</v>
      </c>
      <c r="E184">
        <v>4.88</v>
      </c>
    </row>
    <row r="185" spans="2:5">
      <c r="B185" s="7">
        <v>36923</v>
      </c>
      <c r="C185">
        <v>5.21</v>
      </c>
      <c r="E185">
        <v>4.67</v>
      </c>
    </row>
    <row r="186" spans="2:5">
      <c r="B186" s="7">
        <v>36951</v>
      </c>
      <c r="C186">
        <v>5.08</v>
      </c>
      <c r="E186">
        <v>4.4400000000000004</v>
      </c>
    </row>
    <row r="187" spans="2:5">
      <c r="B187" s="7">
        <v>36982</v>
      </c>
      <c r="C187">
        <v>4.43</v>
      </c>
      <c r="E187">
        <v>4.24</v>
      </c>
    </row>
    <row r="188" spans="2:5">
      <c r="B188" s="7">
        <v>37012</v>
      </c>
      <c r="C188">
        <v>4.0599999999999996</v>
      </c>
      <c r="E188">
        <v>4.18</v>
      </c>
    </row>
    <row r="189" spans="2:5">
      <c r="B189" s="7">
        <v>37043</v>
      </c>
      <c r="C189">
        <v>3.86</v>
      </c>
      <c r="E189">
        <v>3.82</v>
      </c>
    </row>
    <row r="190" spans="2:5">
      <c r="B190" s="7">
        <v>37073</v>
      </c>
      <c r="C190">
        <v>3.75</v>
      </c>
      <c r="E190">
        <v>3.56</v>
      </c>
    </row>
    <row r="191" spans="2:5">
      <c r="B191" s="7">
        <v>37104</v>
      </c>
      <c r="C191">
        <v>3.58</v>
      </c>
      <c r="E191">
        <v>2.64</v>
      </c>
    </row>
    <row r="192" spans="2:5">
      <c r="B192" s="7">
        <v>37135</v>
      </c>
      <c r="C192">
        <v>2.63</v>
      </c>
      <c r="E192">
        <v>2.27</v>
      </c>
    </row>
    <row r="193" spans="2:5">
      <c r="B193" s="7">
        <v>37165</v>
      </c>
      <c r="C193">
        <v>2.29</v>
      </c>
      <c r="E193">
        <v>2.39</v>
      </c>
    </row>
    <row r="194" spans="2:5">
      <c r="B194" s="7">
        <v>37196</v>
      </c>
      <c r="C194">
        <v>2.12</v>
      </c>
      <c r="E194">
        <v>2.44</v>
      </c>
    </row>
    <row r="195" spans="2:5">
      <c r="B195" s="7">
        <v>37226</v>
      </c>
      <c r="C195">
        <v>1.87</v>
      </c>
      <c r="E195">
        <v>2.4900000000000002</v>
      </c>
    </row>
    <row r="196" spans="2:5">
      <c r="B196" s="7">
        <v>37257</v>
      </c>
      <c r="C196">
        <v>1.85</v>
      </c>
      <c r="E196">
        <v>2.4300000000000002</v>
      </c>
    </row>
    <row r="197" spans="2:5">
      <c r="B197" s="7">
        <v>37288</v>
      </c>
      <c r="C197">
        <v>1.87</v>
      </c>
      <c r="E197">
        <v>3</v>
      </c>
    </row>
    <row r="198" spans="2:5">
      <c r="B198" s="7">
        <v>37316</v>
      </c>
      <c r="C198">
        <v>1.88</v>
      </c>
      <c r="E198">
        <v>2.63</v>
      </c>
    </row>
    <row r="199" spans="2:5">
      <c r="B199" s="7">
        <v>37347</v>
      </c>
      <c r="C199">
        <v>1.84</v>
      </c>
      <c r="E199">
        <v>2.59</v>
      </c>
    </row>
    <row r="200" spans="2:5">
      <c r="B200" s="7">
        <v>37377</v>
      </c>
      <c r="C200">
        <v>1.84</v>
      </c>
      <c r="E200">
        <v>2.29</v>
      </c>
    </row>
    <row r="201" spans="2:5">
      <c r="B201" s="7">
        <v>37408</v>
      </c>
      <c r="C201">
        <v>1.84</v>
      </c>
      <c r="E201">
        <v>2.09</v>
      </c>
    </row>
    <row r="202" spans="2:5">
      <c r="B202" s="7">
        <v>37438</v>
      </c>
      <c r="C202">
        <v>1.82</v>
      </c>
      <c r="E202">
        <v>1.9</v>
      </c>
    </row>
    <row r="203" spans="2:5">
      <c r="B203" s="7">
        <v>37469</v>
      </c>
      <c r="C203">
        <v>1.82</v>
      </c>
      <c r="E203">
        <v>1.73</v>
      </c>
    </row>
    <row r="204" spans="2:5">
      <c r="B204" s="7">
        <v>37500</v>
      </c>
      <c r="C204">
        <v>1.81</v>
      </c>
      <c r="E204">
        <v>1.64</v>
      </c>
    </row>
    <row r="205" spans="2:5">
      <c r="B205" s="7">
        <v>37530</v>
      </c>
      <c r="C205">
        <v>1.72</v>
      </c>
      <c r="E205">
        <v>1.73</v>
      </c>
    </row>
    <row r="206" spans="2:5">
      <c r="B206" s="7">
        <v>37561</v>
      </c>
      <c r="C206">
        <v>1.44</v>
      </c>
      <c r="E206">
        <v>1.45</v>
      </c>
    </row>
    <row r="207" spans="2:5">
      <c r="B207" s="7">
        <v>37591</v>
      </c>
      <c r="C207">
        <v>1.38</v>
      </c>
      <c r="E207">
        <v>1.45</v>
      </c>
    </row>
    <row r="208" spans="2:5">
      <c r="B208" s="7">
        <v>37622</v>
      </c>
      <c r="C208">
        <v>1.34</v>
      </c>
      <c r="E208">
        <v>1.38</v>
      </c>
    </row>
    <row r="209" spans="2:5">
      <c r="B209" s="7">
        <v>37653</v>
      </c>
      <c r="C209">
        <v>1.34</v>
      </c>
      <c r="E209">
        <v>1.28</v>
      </c>
    </row>
    <row r="210" spans="2:5">
      <c r="B210" s="7">
        <v>37681</v>
      </c>
      <c r="C210">
        <v>1.3</v>
      </c>
      <c r="E210">
        <v>1.36</v>
      </c>
    </row>
    <row r="211" spans="2:5">
      <c r="B211" s="7">
        <v>37712</v>
      </c>
      <c r="C211">
        <v>1.32</v>
      </c>
      <c r="E211">
        <v>1.21</v>
      </c>
    </row>
    <row r="212" spans="2:5">
      <c r="B212" s="7">
        <v>37742</v>
      </c>
      <c r="C212">
        <v>1.32</v>
      </c>
      <c r="E212">
        <v>1.19</v>
      </c>
    </row>
    <row r="213" spans="2:5">
      <c r="B213" s="7">
        <v>37773</v>
      </c>
      <c r="C213">
        <v>1.1200000000000001</v>
      </c>
      <c r="E213">
        <v>1.27</v>
      </c>
    </row>
    <row r="214" spans="2:5">
      <c r="B214" s="7">
        <v>37803</v>
      </c>
      <c r="C214">
        <v>1.1000000000000001</v>
      </c>
      <c r="E214">
        <v>1.43</v>
      </c>
    </row>
    <row r="215" spans="2:5">
      <c r="B215" s="7">
        <v>37834</v>
      </c>
      <c r="C215">
        <v>1.1200000000000001</v>
      </c>
      <c r="E215">
        <v>1.3</v>
      </c>
    </row>
    <row r="216" spans="2:5">
      <c r="B216" s="7">
        <v>37865</v>
      </c>
      <c r="C216">
        <v>1.1200000000000001</v>
      </c>
      <c r="E216">
        <v>1.48</v>
      </c>
    </row>
    <row r="217" spans="2:5">
      <c r="B217" s="7">
        <v>37895</v>
      </c>
      <c r="C217">
        <v>1.1200000000000001</v>
      </c>
      <c r="E217">
        <v>1.56</v>
      </c>
    </row>
    <row r="218" spans="2:5">
      <c r="B218" s="7">
        <v>37926</v>
      </c>
      <c r="C218">
        <v>1.17</v>
      </c>
      <c r="E218">
        <v>1.46</v>
      </c>
    </row>
    <row r="219" spans="2:5">
      <c r="B219" s="7">
        <v>37956</v>
      </c>
      <c r="C219">
        <v>1.1200000000000001</v>
      </c>
      <c r="E219">
        <v>1.48</v>
      </c>
    </row>
    <row r="220" spans="2:5">
      <c r="B220" s="7">
        <v>37987</v>
      </c>
      <c r="C220">
        <v>1.1000000000000001</v>
      </c>
      <c r="E220">
        <v>1.37</v>
      </c>
    </row>
    <row r="221" spans="2:5">
      <c r="B221" s="7">
        <v>38018</v>
      </c>
      <c r="C221">
        <v>1.1000000000000001</v>
      </c>
      <c r="E221">
        <v>1.35</v>
      </c>
    </row>
    <row r="222" spans="2:5">
      <c r="B222" s="7">
        <v>38047</v>
      </c>
      <c r="C222">
        <v>1.0900000000000001</v>
      </c>
      <c r="E222">
        <v>1.83</v>
      </c>
    </row>
    <row r="223" spans="2:5">
      <c r="B223" s="7">
        <v>38078</v>
      </c>
      <c r="C223">
        <v>1.1000000000000001</v>
      </c>
      <c r="E223">
        <v>2.06</v>
      </c>
    </row>
    <row r="224" spans="2:5">
      <c r="B224" s="7">
        <v>38108</v>
      </c>
      <c r="C224">
        <v>1.1100000000000001</v>
      </c>
      <c r="E224">
        <v>2.46</v>
      </c>
    </row>
    <row r="225" spans="2:5">
      <c r="B225" s="7">
        <v>38139</v>
      </c>
      <c r="C225">
        <v>1.37</v>
      </c>
      <c r="E225">
        <v>2.4300000000000002</v>
      </c>
    </row>
    <row r="226" spans="2:5">
      <c r="B226" s="7">
        <v>38169</v>
      </c>
      <c r="C226">
        <v>1.5</v>
      </c>
      <c r="E226">
        <v>2.2999999999999998</v>
      </c>
    </row>
    <row r="227" spans="2:5">
      <c r="B227" s="7">
        <v>38200</v>
      </c>
      <c r="C227">
        <v>1.67</v>
      </c>
      <c r="E227">
        <v>2.48</v>
      </c>
    </row>
    <row r="228" spans="2:5">
      <c r="B228" s="7">
        <v>38231</v>
      </c>
      <c r="C228">
        <v>1.84</v>
      </c>
      <c r="E228">
        <v>2.5499999999999998</v>
      </c>
    </row>
    <row r="229" spans="2:5">
      <c r="B229" s="7">
        <v>38261</v>
      </c>
      <c r="C229">
        <v>2</v>
      </c>
      <c r="E229">
        <v>2.98</v>
      </c>
    </row>
    <row r="230" spans="2:5">
      <c r="B230" s="7">
        <v>38292</v>
      </c>
      <c r="C230">
        <v>2.29</v>
      </c>
      <c r="E230">
        <v>3.1</v>
      </c>
    </row>
    <row r="231" spans="2:5">
      <c r="B231" s="7">
        <v>38322</v>
      </c>
      <c r="C231">
        <v>2.4</v>
      </c>
      <c r="E231">
        <v>3.26</v>
      </c>
    </row>
    <row r="232" spans="2:5">
      <c r="B232" s="7">
        <v>38353</v>
      </c>
      <c r="C232">
        <v>2.59</v>
      </c>
      <c r="E232">
        <v>3.53</v>
      </c>
    </row>
    <row r="233" spans="2:5">
      <c r="B233" s="7">
        <v>38384</v>
      </c>
      <c r="C233">
        <v>2.72</v>
      </c>
      <c r="E233">
        <v>3.85</v>
      </c>
    </row>
    <row r="234" spans="2:5">
      <c r="B234" s="7">
        <v>38412</v>
      </c>
      <c r="C234">
        <v>2.87</v>
      </c>
      <c r="E234">
        <v>3.69</v>
      </c>
    </row>
    <row r="235" spans="2:5">
      <c r="B235" s="7">
        <v>38443</v>
      </c>
      <c r="C235">
        <v>3.09</v>
      </c>
      <c r="E235">
        <v>3.78</v>
      </c>
    </row>
    <row r="236" spans="2:5">
      <c r="B236" s="7">
        <v>38473</v>
      </c>
      <c r="C236">
        <v>3.13</v>
      </c>
      <c r="E236">
        <v>3.88</v>
      </c>
    </row>
    <row r="237" spans="2:5">
      <c r="B237" s="7">
        <v>38504</v>
      </c>
      <c r="C237">
        <v>3.34</v>
      </c>
      <c r="E237">
        <v>4.16</v>
      </c>
    </row>
    <row r="238" spans="2:5">
      <c r="B238" s="7">
        <v>38534</v>
      </c>
      <c r="C238">
        <v>3.52</v>
      </c>
      <c r="E238">
        <v>4.24</v>
      </c>
    </row>
    <row r="239" spans="2:5">
      <c r="B239" s="7">
        <v>38565</v>
      </c>
      <c r="C239">
        <v>3.7</v>
      </c>
      <c r="E239">
        <v>4.4400000000000004</v>
      </c>
    </row>
    <row r="240" spans="2:5">
      <c r="B240" s="7">
        <v>38596</v>
      </c>
      <c r="C240">
        <v>3.86</v>
      </c>
      <c r="E240">
        <v>4.72</v>
      </c>
    </row>
    <row r="241" spans="2:5">
      <c r="B241" s="7">
        <v>38626</v>
      </c>
      <c r="C241">
        <v>4.09</v>
      </c>
      <c r="E241">
        <v>4.79</v>
      </c>
    </row>
    <row r="242" spans="2:5">
      <c r="B242" s="7">
        <v>38657</v>
      </c>
      <c r="C242">
        <v>4.29</v>
      </c>
      <c r="E242">
        <v>4.84</v>
      </c>
    </row>
    <row r="243" spans="2:5">
      <c r="B243" s="7">
        <v>38687</v>
      </c>
      <c r="C243">
        <v>4.3899999999999997</v>
      </c>
      <c r="E243">
        <v>4.9400000000000004</v>
      </c>
    </row>
    <row r="244" spans="2:5">
      <c r="B244" s="7">
        <v>38718</v>
      </c>
      <c r="C244">
        <v>4.57</v>
      </c>
      <c r="E244">
        <v>5.15</v>
      </c>
    </row>
    <row r="245" spans="2:5">
      <c r="B245" s="7">
        <v>38749</v>
      </c>
      <c r="C245">
        <v>4.63</v>
      </c>
      <c r="E245">
        <v>5.29</v>
      </c>
    </row>
    <row r="246" spans="2:5">
      <c r="B246" s="7">
        <v>38777</v>
      </c>
      <c r="C246">
        <v>4.83</v>
      </c>
      <c r="E246">
        <v>5.33</v>
      </c>
    </row>
    <row r="247" spans="2:5">
      <c r="B247" s="7">
        <v>38808</v>
      </c>
      <c r="C247">
        <v>5.04</v>
      </c>
      <c r="E247">
        <v>5.43</v>
      </c>
    </row>
    <row r="248" spans="2:5">
      <c r="B248" s="7">
        <v>38838</v>
      </c>
      <c r="C248">
        <v>5.1100000000000003</v>
      </c>
      <c r="E248">
        <v>5.69</v>
      </c>
    </row>
    <row r="249" spans="2:5">
      <c r="B249" s="7">
        <v>38869</v>
      </c>
      <c r="C249">
        <v>5.33</v>
      </c>
      <c r="E249">
        <v>5.54</v>
      </c>
    </row>
    <row r="250" spans="2:5">
      <c r="B250" s="7">
        <v>38899</v>
      </c>
      <c r="C250">
        <v>5.39</v>
      </c>
      <c r="E250">
        <v>5.41</v>
      </c>
    </row>
    <row r="251" spans="2:5">
      <c r="B251" s="7">
        <v>38930</v>
      </c>
      <c r="C251">
        <v>5.33</v>
      </c>
      <c r="E251">
        <v>5.3</v>
      </c>
    </row>
    <row r="252" spans="2:5">
      <c r="B252" s="7">
        <v>38961</v>
      </c>
      <c r="C252">
        <v>5.32</v>
      </c>
      <c r="E252">
        <v>5.34</v>
      </c>
    </row>
    <row r="253" spans="2:5">
      <c r="B253" s="7">
        <v>38991</v>
      </c>
      <c r="C253">
        <v>5.32</v>
      </c>
      <c r="E253">
        <v>5.24</v>
      </c>
    </row>
    <row r="254" spans="2:5">
      <c r="B254" s="7">
        <v>39022</v>
      </c>
      <c r="C254">
        <v>5.35</v>
      </c>
      <c r="E254">
        <v>5.33</v>
      </c>
    </row>
    <row r="255" spans="2:5">
      <c r="B255" s="7">
        <v>39052</v>
      </c>
      <c r="C255">
        <v>5.32</v>
      </c>
      <c r="E255">
        <v>5.43</v>
      </c>
    </row>
    <row r="256" spans="2:5">
      <c r="B256" s="7">
        <v>39083</v>
      </c>
      <c r="C256">
        <v>5.32</v>
      </c>
      <c r="E256">
        <v>5.24</v>
      </c>
    </row>
    <row r="257" spans="2:5">
      <c r="B257" s="7">
        <v>39114</v>
      </c>
      <c r="C257">
        <v>5.32</v>
      </c>
      <c r="E257">
        <v>5.22</v>
      </c>
    </row>
    <row r="258" spans="2:5">
      <c r="B258" s="7">
        <v>39142</v>
      </c>
      <c r="C258">
        <v>5.32</v>
      </c>
      <c r="E258">
        <v>5.3</v>
      </c>
    </row>
    <row r="259" spans="2:5">
      <c r="B259" s="7">
        <v>39173</v>
      </c>
      <c r="C259">
        <v>5.32</v>
      </c>
      <c r="E259">
        <v>5.39</v>
      </c>
    </row>
    <row r="260" spans="2:5">
      <c r="B260" s="7">
        <v>39203</v>
      </c>
      <c r="C260">
        <v>5.32</v>
      </c>
      <c r="E260">
        <v>5.43</v>
      </c>
    </row>
    <row r="261" spans="2:5">
      <c r="B261" s="7">
        <v>39234</v>
      </c>
      <c r="C261">
        <v>5.32</v>
      </c>
      <c r="E261">
        <v>5.25</v>
      </c>
    </row>
    <row r="262" spans="2:5">
      <c r="B262" s="7">
        <v>39264</v>
      </c>
      <c r="C262">
        <v>5.32</v>
      </c>
      <c r="E262">
        <v>5.28</v>
      </c>
    </row>
    <row r="263" spans="2:5">
      <c r="B263" s="7">
        <v>39295</v>
      </c>
      <c r="C263">
        <v>5.72</v>
      </c>
      <c r="E263">
        <v>4.9000000000000004</v>
      </c>
    </row>
    <row r="264" spans="2:5">
      <c r="B264" s="7">
        <v>39326</v>
      </c>
      <c r="C264">
        <v>5.12</v>
      </c>
      <c r="E264">
        <v>4.6399999999999997</v>
      </c>
    </row>
    <row r="265" spans="2:5">
      <c r="B265" s="7">
        <v>39356</v>
      </c>
      <c r="C265">
        <v>4.71</v>
      </c>
      <c r="E265">
        <v>4.46</v>
      </c>
    </row>
    <row r="266" spans="2:5">
      <c r="B266" s="7">
        <v>39387</v>
      </c>
      <c r="C266">
        <v>5.24</v>
      </c>
      <c r="E266">
        <v>4.22</v>
      </c>
    </row>
    <row r="267" spans="2:5">
      <c r="B267" s="7">
        <v>39417</v>
      </c>
      <c r="C267">
        <v>4.5999999999999996</v>
      </c>
      <c r="E267">
        <v>2.85</v>
      </c>
    </row>
    <row r="268" spans="2:5">
      <c r="B268" s="7">
        <v>39448</v>
      </c>
      <c r="C268">
        <v>3.14</v>
      </c>
      <c r="E268">
        <v>2.71</v>
      </c>
    </row>
    <row r="269" spans="2:5">
      <c r="B269" s="7">
        <v>39479</v>
      </c>
      <c r="C269">
        <v>3.11</v>
      </c>
      <c r="E269">
        <v>2.4900000000000002</v>
      </c>
    </row>
    <row r="270" spans="2:5">
      <c r="B270" s="7">
        <v>39508</v>
      </c>
      <c r="C270">
        <v>2.7</v>
      </c>
      <c r="E270">
        <v>3.08</v>
      </c>
    </row>
    <row r="271" spans="2:5">
      <c r="B271" s="7">
        <v>39539</v>
      </c>
      <c r="C271">
        <v>2.8</v>
      </c>
      <c r="E271">
        <v>3.16</v>
      </c>
    </row>
    <row r="272" spans="2:5">
      <c r="B272" s="7">
        <v>39569</v>
      </c>
      <c r="C272">
        <v>2.46</v>
      </c>
      <c r="E272">
        <v>3.31</v>
      </c>
    </row>
    <row r="273" spans="2:5">
      <c r="B273" s="7">
        <v>39600</v>
      </c>
      <c r="C273">
        <v>2.46</v>
      </c>
      <c r="E273">
        <v>3.25</v>
      </c>
    </row>
    <row r="274" spans="2:5">
      <c r="B274" s="7">
        <v>39630</v>
      </c>
      <c r="C274">
        <v>2.46</v>
      </c>
      <c r="E274">
        <v>3.21</v>
      </c>
    </row>
    <row r="275" spans="2:5">
      <c r="B275" s="7">
        <v>39661</v>
      </c>
      <c r="C275">
        <v>2.4900000000000002</v>
      </c>
      <c r="E275">
        <v>3.96</v>
      </c>
    </row>
    <row r="276" spans="2:5">
      <c r="B276" s="7">
        <v>39692</v>
      </c>
      <c r="C276">
        <v>3.93</v>
      </c>
      <c r="E276">
        <v>3.17</v>
      </c>
    </row>
    <row r="277" spans="2:5">
      <c r="B277" s="7">
        <v>39722</v>
      </c>
      <c r="C277">
        <v>2.58</v>
      </c>
      <c r="E277">
        <v>2.77</v>
      </c>
    </row>
    <row r="278" spans="2:5">
      <c r="B278" s="7">
        <v>39753</v>
      </c>
      <c r="C278">
        <v>1.9</v>
      </c>
      <c r="E278">
        <v>2</v>
      </c>
    </row>
    <row r="279" spans="2:5">
      <c r="B279" s="7">
        <v>39783</v>
      </c>
      <c r="C279">
        <v>0.44</v>
      </c>
      <c r="E279">
        <v>1.98</v>
      </c>
    </row>
    <row r="280" spans="2:5">
      <c r="B280" s="7">
        <v>39814</v>
      </c>
      <c r="C280">
        <v>0.42</v>
      </c>
      <c r="E280">
        <v>2.12</v>
      </c>
    </row>
    <row r="281" spans="2:5">
      <c r="B281" s="7">
        <v>39845</v>
      </c>
      <c r="C281">
        <v>0.5</v>
      </c>
      <c r="E281">
        <v>1.97</v>
      </c>
    </row>
    <row r="282" spans="2:5">
      <c r="B282" s="7">
        <v>39873</v>
      </c>
      <c r="C282">
        <v>0.5</v>
      </c>
      <c r="E282">
        <v>1.88</v>
      </c>
    </row>
    <row r="283" spans="2:5">
      <c r="B283" s="7">
        <v>39904</v>
      </c>
      <c r="C283">
        <v>0.41</v>
      </c>
      <c r="E283">
        <v>1.6</v>
      </c>
    </row>
    <row r="284" spans="2:5">
      <c r="B284" s="7">
        <v>39934</v>
      </c>
      <c r="C284">
        <v>0.32</v>
      </c>
      <c r="E284">
        <v>1.61</v>
      </c>
    </row>
    <row r="285" spans="2:5">
      <c r="B285" s="7">
        <v>39965</v>
      </c>
      <c r="C285">
        <v>0.31</v>
      </c>
      <c r="E285">
        <v>1.5</v>
      </c>
    </row>
    <row r="286" spans="2:5">
      <c r="B286" s="7">
        <v>39995</v>
      </c>
      <c r="C286">
        <v>0.28000000000000003</v>
      </c>
      <c r="E286">
        <v>1.33</v>
      </c>
    </row>
    <row r="287" spans="2:5">
      <c r="B287" s="7">
        <v>40026</v>
      </c>
      <c r="C287">
        <v>0.26</v>
      </c>
      <c r="E287">
        <v>1.26</v>
      </c>
    </row>
    <row r="288" spans="2:5">
      <c r="B288" s="7">
        <v>40057</v>
      </c>
      <c r="C288">
        <v>0.25</v>
      </c>
      <c r="E288">
        <v>1.2</v>
      </c>
    </row>
    <row r="289" spans="2:5">
      <c r="B289" s="7">
        <v>40087</v>
      </c>
      <c r="C289">
        <v>0.24</v>
      </c>
      <c r="E289">
        <v>1.02</v>
      </c>
    </row>
    <row r="290" spans="2:5">
      <c r="B290" s="7">
        <v>40118</v>
      </c>
      <c r="C290">
        <v>0.24</v>
      </c>
      <c r="E290">
        <v>0.98</v>
      </c>
    </row>
    <row r="291" spans="2:5">
      <c r="B291" s="7">
        <v>40148</v>
      </c>
      <c r="C291">
        <v>0.23</v>
      </c>
      <c r="E291">
        <v>0.85</v>
      </c>
    </row>
    <row r="292" spans="2:5">
      <c r="B292" s="7">
        <v>40179</v>
      </c>
      <c r="C292">
        <v>0.23</v>
      </c>
      <c r="E292">
        <v>0.84</v>
      </c>
    </row>
    <row r="293" spans="2:5">
      <c r="B293" s="7">
        <v>40210</v>
      </c>
      <c r="C293">
        <v>0.23</v>
      </c>
      <c r="E293">
        <v>0.92</v>
      </c>
    </row>
    <row r="294" spans="2:5">
      <c r="B294" s="7">
        <v>40238</v>
      </c>
      <c r="C294">
        <v>0.25</v>
      </c>
      <c r="E294">
        <v>1.02</v>
      </c>
    </row>
    <row r="295" spans="2:5">
      <c r="B295" s="7">
        <v>40269</v>
      </c>
      <c r="C295">
        <v>0.28000000000000003</v>
      </c>
      <c r="E295">
        <v>1.2</v>
      </c>
    </row>
    <row r="296" spans="2:5">
      <c r="B296" s="7">
        <v>40299</v>
      </c>
      <c r="C296">
        <v>0.35</v>
      </c>
      <c r="E296">
        <v>1.17</v>
      </c>
    </row>
    <row r="297" spans="2:5">
      <c r="B297" s="7">
        <v>40330</v>
      </c>
      <c r="C297">
        <v>0.35</v>
      </c>
      <c r="E297">
        <v>1.04</v>
      </c>
    </row>
    <row r="298" spans="2:5">
      <c r="B298" s="7">
        <v>40360</v>
      </c>
      <c r="C298">
        <v>0.31</v>
      </c>
      <c r="E298">
        <v>0.84</v>
      </c>
    </row>
    <row r="299" spans="2:5">
      <c r="B299" s="7">
        <v>40391</v>
      </c>
      <c r="C299">
        <v>0.26</v>
      </c>
      <c r="E299">
        <v>0.78</v>
      </c>
    </row>
    <row r="300" spans="2:5">
      <c r="B300" s="7">
        <v>40422</v>
      </c>
      <c r="C300">
        <v>0.26</v>
      </c>
      <c r="E300">
        <v>0.76</v>
      </c>
    </row>
    <row r="301" spans="2:5">
      <c r="B301" s="7">
        <v>40452</v>
      </c>
      <c r="C301">
        <v>0.25</v>
      </c>
      <c r="E301">
        <v>0.79</v>
      </c>
    </row>
    <row r="302" spans="2:5">
      <c r="B302" s="7">
        <v>40483</v>
      </c>
      <c r="C302">
        <v>0.26</v>
      </c>
      <c r="E302">
        <v>0.78</v>
      </c>
    </row>
    <row r="303" spans="2:5">
      <c r="B303" s="7">
        <v>40513</v>
      </c>
      <c r="C303">
        <v>0.26</v>
      </c>
      <c r="E303">
        <v>0.78</v>
      </c>
    </row>
    <row r="304" spans="2:5">
      <c r="B304" s="7">
        <v>40544</v>
      </c>
      <c r="C304">
        <v>0.26</v>
      </c>
      <c r="E304">
        <v>0.79</v>
      </c>
    </row>
    <row r="305" spans="2:5">
      <c r="B305" s="7">
        <v>40575</v>
      </c>
      <c r="C305">
        <v>0.26</v>
      </c>
      <c r="E305">
        <v>0.78</v>
      </c>
    </row>
    <row r="306" spans="2:5">
      <c r="B306" s="7">
        <v>40603</v>
      </c>
      <c r="C306">
        <v>0.24</v>
      </c>
      <c r="E306">
        <v>0.76</v>
      </c>
    </row>
    <row r="307" spans="2:5">
      <c r="B307" s="7">
        <v>40634</v>
      </c>
      <c r="C307">
        <v>0.21</v>
      </c>
      <c r="E307">
        <v>0.73</v>
      </c>
    </row>
    <row r="308" spans="2:5">
      <c r="B308" s="7">
        <v>40664</v>
      </c>
      <c r="C308">
        <v>0.19</v>
      </c>
      <c r="E308">
        <v>0.73</v>
      </c>
    </row>
    <row r="309" spans="2:5">
      <c r="B309" s="7">
        <v>40695</v>
      </c>
      <c r="C309">
        <v>0.19</v>
      </c>
      <c r="E309">
        <v>0.76</v>
      </c>
    </row>
    <row r="310" spans="2:5">
      <c r="B310" s="7">
        <v>40725</v>
      </c>
      <c r="C310">
        <v>0.19</v>
      </c>
      <c r="E310">
        <v>0.8</v>
      </c>
    </row>
    <row r="311" spans="2:5">
      <c r="B311" s="7">
        <v>40756</v>
      </c>
      <c r="C311">
        <v>0.22</v>
      </c>
      <c r="E311">
        <v>0.87</v>
      </c>
    </row>
    <row r="312" spans="2:5">
      <c r="B312" s="7">
        <v>40787</v>
      </c>
      <c r="C312">
        <v>0.24</v>
      </c>
      <c r="E312">
        <v>0.94</v>
      </c>
    </row>
    <row r="313" spans="2:5">
      <c r="B313" s="7">
        <v>40817</v>
      </c>
      <c r="C313">
        <v>0.25</v>
      </c>
      <c r="E313">
        <v>1.07</v>
      </c>
    </row>
    <row r="314" spans="2:5">
      <c r="B314" s="7">
        <v>40848</v>
      </c>
      <c r="C314">
        <v>0.27</v>
      </c>
      <c r="E314">
        <v>1.1299999999999999</v>
      </c>
    </row>
    <row r="315" spans="2:5">
      <c r="B315" s="7">
        <v>40878</v>
      </c>
      <c r="C315">
        <v>0.3</v>
      </c>
      <c r="E315">
        <v>1.1000000000000001</v>
      </c>
    </row>
    <row r="316" spans="2:5">
      <c r="B316" s="7">
        <v>40909</v>
      </c>
      <c r="C316">
        <v>0.27</v>
      </c>
      <c r="E316">
        <v>1.06</v>
      </c>
    </row>
    <row r="317" spans="2:5">
      <c r="B317" s="7">
        <v>40940</v>
      </c>
      <c r="C317">
        <v>0.24</v>
      </c>
      <c r="E317">
        <v>1.05</v>
      </c>
    </row>
    <row r="318" spans="2:5">
      <c r="B318" s="7">
        <v>40969</v>
      </c>
      <c r="C318">
        <v>0.24</v>
      </c>
      <c r="E318">
        <v>1.05</v>
      </c>
    </row>
    <row r="319" spans="2:5">
      <c r="B319" s="7">
        <v>41000</v>
      </c>
      <c r="C319">
        <v>0.24</v>
      </c>
      <c r="E319">
        <v>1.07</v>
      </c>
    </row>
    <row r="320" spans="2:5">
      <c r="B320" s="7">
        <v>41030</v>
      </c>
      <c r="C320">
        <v>0.24</v>
      </c>
      <c r="E320">
        <v>1.07</v>
      </c>
    </row>
    <row r="321" spans="2:5">
      <c r="B321" s="7">
        <v>41061</v>
      </c>
      <c r="C321">
        <v>0.25</v>
      </c>
      <c r="E321">
        <v>1.05</v>
      </c>
    </row>
    <row r="322" spans="2:5">
      <c r="B322" s="7">
        <v>41091</v>
      </c>
      <c r="C322">
        <v>0.25</v>
      </c>
      <c r="E322">
        <v>1.03</v>
      </c>
    </row>
    <row r="323" spans="2:5">
      <c r="B323" s="7">
        <v>41122</v>
      </c>
      <c r="C323">
        <v>0.23</v>
      </c>
      <c r="E323">
        <v>0.97</v>
      </c>
    </row>
    <row r="324" spans="2:5">
      <c r="B324" s="7">
        <v>41153</v>
      </c>
      <c r="C324">
        <v>0.21</v>
      </c>
      <c r="E324">
        <v>0.88</v>
      </c>
    </row>
    <row r="325" spans="2:5">
      <c r="B325" s="7">
        <v>41183</v>
      </c>
      <c r="C325">
        <v>0.21</v>
      </c>
      <c r="E325">
        <v>0.86</v>
      </c>
    </row>
    <row r="326" spans="2:5">
      <c r="B326" s="7">
        <v>41214</v>
      </c>
      <c r="C326">
        <v>0.22</v>
      </c>
      <c r="E326">
        <v>0.84</v>
      </c>
    </row>
    <row r="327" spans="2:5">
      <c r="B327" s="7">
        <v>41244</v>
      </c>
      <c r="C327">
        <v>0.21</v>
      </c>
      <c r="E327">
        <v>0.78</v>
      </c>
    </row>
    <row r="328" spans="2:5">
      <c r="B328" s="7">
        <v>41275</v>
      </c>
      <c r="C328">
        <v>0.2</v>
      </c>
      <c r="E328">
        <v>0.75</v>
      </c>
    </row>
    <row r="329" spans="2:5">
      <c r="B329" s="7">
        <v>41306</v>
      </c>
      <c r="C329">
        <v>0.2</v>
      </c>
      <c r="E329">
        <v>0.73</v>
      </c>
    </row>
    <row r="330" spans="2:5">
      <c r="B330" s="7">
        <v>41334</v>
      </c>
      <c r="C330">
        <v>0.2</v>
      </c>
      <c r="E330">
        <v>0.71</v>
      </c>
    </row>
    <row r="331" spans="2:5">
      <c r="B331" s="7">
        <v>41365</v>
      </c>
      <c r="C331">
        <v>0.2</v>
      </c>
      <c r="E331">
        <v>0.69</v>
      </c>
    </row>
    <row r="332" spans="2:5">
      <c r="B332" s="7">
        <v>41395</v>
      </c>
      <c r="C332">
        <v>0.19</v>
      </c>
      <c r="E332">
        <v>0.69</v>
      </c>
    </row>
    <row r="333" spans="2:5">
      <c r="B333" s="7">
        <v>41426</v>
      </c>
      <c r="C333">
        <v>0.2</v>
      </c>
      <c r="E333">
        <v>0.67</v>
      </c>
    </row>
    <row r="334" spans="2:5">
      <c r="B334" s="7">
        <v>41456</v>
      </c>
      <c r="C334">
        <v>0.19</v>
      </c>
      <c r="E334">
        <v>0.67</v>
      </c>
    </row>
    <row r="335" spans="2:5">
      <c r="B335" s="7">
        <v>41487</v>
      </c>
      <c r="C335">
        <v>0.18</v>
      </c>
      <c r="E335">
        <v>0.63</v>
      </c>
    </row>
    <row r="336" spans="2:5">
      <c r="B336" s="7">
        <v>41518</v>
      </c>
      <c r="C336">
        <v>0.18</v>
      </c>
      <c r="E336">
        <v>0.6</v>
      </c>
    </row>
    <row r="337" spans="2:5">
      <c r="B337" s="7">
        <v>41548</v>
      </c>
      <c r="C337">
        <v>0.17</v>
      </c>
      <c r="E337">
        <v>0.57999999999999996</v>
      </c>
    </row>
    <row r="338" spans="2:5">
      <c r="B338" s="7">
        <v>41579</v>
      </c>
      <c r="C338">
        <v>0.17</v>
      </c>
      <c r="E338">
        <v>0.57999999999999996</v>
      </c>
    </row>
    <row r="339" spans="2:5">
      <c r="B339" s="7">
        <v>41609</v>
      </c>
      <c r="C339">
        <v>0.17</v>
      </c>
      <c r="E339">
        <v>0.56999999999999995</v>
      </c>
    </row>
    <row r="340" spans="2:5">
      <c r="B340" s="7">
        <v>41640</v>
      </c>
      <c r="C340">
        <v>0.16</v>
      </c>
      <c r="E340">
        <v>0.55000000000000004</v>
      </c>
    </row>
    <row r="341" spans="2:5">
      <c r="B341" s="7">
        <v>41671</v>
      </c>
      <c r="C341">
        <v>0.16</v>
      </c>
      <c r="E341">
        <v>0.56000000000000005</v>
      </c>
    </row>
    <row r="342" spans="2:5">
      <c r="B342" s="7">
        <v>41699</v>
      </c>
      <c r="C342">
        <v>0.15</v>
      </c>
      <c r="E342">
        <v>0.55000000000000004</v>
      </c>
    </row>
    <row r="343" spans="2:5">
      <c r="B343" s="7">
        <v>41730</v>
      </c>
      <c r="C343">
        <v>0.15</v>
      </c>
      <c r="E343">
        <v>0.53</v>
      </c>
    </row>
    <row r="344" spans="2:5">
      <c r="B344" s="7">
        <v>41760</v>
      </c>
      <c r="C344">
        <v>0.15</v>
      </c>
      <c r="E344">
        <v>0.55000000000000004</v>
      </c>
    </row>
    <row r="345" spans="2:5">
      <c r="B345" s="7">
        <v>41791</v>
      </c>
      <c r="C345">
        <v>0.16</v>
      </c>
      <c r="E345">
        <v>0.57999999999999996</v>
      </c>
    </row>
    <row r="346" spans="2:5">
      <c r="B346" s="7">
        <v>41821</v>
      </c>
      <c r="C346">
        <v>0.16</v>
      </c>
      <c r="E346">
        <v>0.56999999999999995</v>
      </c>
    </row>
    <row r="347" spans="2:5">
      <c r="B347" s="7">
        <v>41852</v>
      </c>
      <c r="C347">
        <v>0.16</v>
      </c>
      <c r="E347">
        <v>0.57999999999999996</v>
      </c>
    </row>
    <row r="348" spans="2:5">
      <c r="B348" s="7">
        <v>41883</v>
      </c>
      <c r="C348">
        <v>0.16</v>
      </c>
      <c r="E348">
        <v>0.55000000000000004</v>
      </c>
    </row>
    <row r="349" spans="2:5">
      <c r="B349" s="7">
        <v>41913</v>
      </c>
      <c r="C349">
        <v>0.16</v>
      </c>
      <c r="E349">
        <v>0.56999999999999995</v>
      </c>
    </row>
    <row r="350" spans="2:5">
      <c r="B350" s="7">
        <v>41944</v>
      </c>
      <c r="C350">
        <v>0.15</v>
      </c>
      <c r="E350">
        <v>0.63</v>
      </c>
    </row>
    <row r="351" spans="2:5">
      <c r="B351" s="7">
        <v>41974</v>
      </c>
      <c r="C351">
        <v>0.17</v>
      </c>
      <c r="E351">
        <v>0.62</v>
      </c>
    </row>
    <row r="352" spans="2:5">
      <c r="B352" s="7">
        <v>42005</v>
      </c>
      <c r="C352">
        <v>0.17</v>
      </c>
      <c r="E352">
        <v>0.68</v>
      </c>
    </row>
    <row r="353" spans="2:5">
      <c r="B353" s="7">
        <v>42036</v>
      </c>
      <c r="C353">
        <v>0.17</v>
      </c>
      <c r="E353">
        <v>0.69</v>
      </c>
    </row>
    <row r="354" spans="2:5">
      <c r="B354" s="7">
        <v>42064</v>
      </c>
      <c r="C354">
        <v>0.18</v>
      </c>
      <c r="E354">
        <v>0.71</v>
      </c>
    </row>
    <row r="355" spans="2:5">
      <c r="B355" s="7">
        <v>42095</v>
      </c>
      <c r="C355">
        <v>0.18</v>
      </c>
      <c r="E355">
        <v>0.75</v>
      </c>
    </row>
    <row r="356" spans="2:5">
      <c r="B356" s="7">
        <v>42125</v>
      </c>
      <c r="C356">
        <v>0.18</v>
      </c>
      <c r="E356">
        <v>0.77</v>
      </c>
    </row>
    <row r="357" spans="2:5">
      <c r="B357" s="7">
        <v>42156</v>
      </c>
      <c r="C357">
        <v>0.19</v>
      </c>
      <c r="E357">
        <v>0.83</v>
      </c>
    </row>
    <row r="358" spans="2:5">
      <c r="B358" s="7">
        <v>42186</v>
      </c>
      <c r="C358">
        <v>0.19</v>
      </c>
      <c r="E358">
        <v>0.85</v>
      </c>
    </row>
    <row r="359" spans="2:5">
      <c r="B359" s="7">
        <v>42248</v>
      </c>
      <c r="C359">
        <v>0.19</v>
      </c>
      <c r="E359">
        <v>0.87</v>
      </c>
    </row>
    <row r="360" spans="2:5">
      <c r="B360" s="7">
        <v>42278</v>
      </c>
      <c r="C360">
        <v>0.19</v>
      </c>
      <c r="E360">
        <v>0.98</v>
      </c>
    </row>
    <row r="361" spans="2:5">
      <c r="B361" s="7">
        <v>42309</v>
      </c>
      <c r="C361">
        <v>0.24</v>
      </c>
      <c r="E361">
        <v>1.18</v>
      </c>
    </row>
    <row r="362" spans="2:5">
      <c r="B362" s="7">
        <v>42339</v>
      </c>
      <c r="C362">
        <v>0.43</v>
      </c>
      <c r="E362">
        <v>1.1399999999999999</v>
      </c>
    </row>
    <row r="363" spans="2:5">
      <c r="B363" s="7">
        <v>42370</v>
      </c>
      <c r="C363">
        <v>0.43</v>
      </c>
      <c r="E363">
        <v>1.18</v>
      </c>
    </row>
    <row r="364" spans="2:5">
      <c r="B364" s="7">
        <v>42401</v>
      </c>
      <c r="C364">
        <v>0.44</v>
      </c>
      <c r="E364">
        <v>1.21</v>
      </c>
    </row>
    <row r="365" spans="2:5">
      <c r="B365" s="7">
        <v>42430</v>
      </c>
      <c r="C365">
        <v>0.44</v>
      </c>
      <c r="E365">
        <v>1.23</v>
      </c>
    </row>
    <row r="366" spans="2:5">
      <c r="B366" s="7">
        <v>42461</v>
      </c>
      <c r="C366">
        <v>0.44</v>
      </c>
      <c r="E366">
        <v>1.34</v>
      </c>
    </row>
    <row r="367" spans="2:5">
      <c r="B367" s="7">
        <v>42491</v>
      </c>
      <c r="C367">
        <v>0.47</v>
      </c>
      <c r="E367">
        <v>1.23</v>
      </c>
    </row>
    <row r="368" spans="2:5">
      <c r="B368" s="7">
        <v>42522</v>
      </c>
      <c r="C368">
        <v>0.47</v>
      </c>
      <c r="E368">
        <v>1.43</v>
      </c>
    </row>
    <row r="369" spans="2:5">
      <c r="B369" s="7">
        <v>42552</v>
      </c>
      <c r="C369">
        <v>0.5</v>
      </c>
      <c r="E369">
        <v>1.56</v>
      </c>
    </row>
    <row r="370" spans="2:5">
      <c r="B370" s="7">
        <v>42583</v>
      </c>
      <c r="C370">
        <v>0.53</v>
      </c>
      <c r="E370">
        <v>1.55</v>
      </c>
    </row>
    <row r="371" spans="2:5">
      <c r="B371" s="7">
        <v>42614</v>
      </c>
      <c r="C371">
        <v>0.53</v>
      </c>
      <c r="E371">
        <v>1.58</v>
      </c>
    </row>
    <row r="372" spans="2:5">
      <c r="B372" s="7">
        <v>42644</v>
      </c>
      <c r="C372">
        <v>0.53</v>
      </c>
      <c r="E372">
        <v>1.64</v>
      </c>
    </row>
    <row r="373" spans="2:5">
      <c r="B373" s="7">
        <v>42675</v>
      </c>
      <c r="C373">
        <v>0.62</v>
      </c>
      <c r="E373">
        <v>1.69</v>
      </c>
    </row>
    <row r="374" spans="2:5">
      <c r="B374" s="7">
        <v>42705</v>
      </c>
      <c r="C374">
        <v>0.77</v>
      </c>
      <c r="E374">
        <v>1.71</v>
      </c>
    </row>
    <row r="375" spans="2:5">
      <c r="B375" s="7">
        <v>42736</v>
      </c>
      <c r="C375">
        <v>0.78</v>
      </c>
      <c r="E375">
        <v>1.76</v>
      </c>
    </row>
    <row r="376" spans="2:5">
      <c r="B376" s="7">
        <v>42767</v>
      </c>
      <c r="C376">
        <v>0.79</v>
      </c>
      <c r="E376">
        <v>1.8</v>
      </c>
    </row>
    <row r="377" spans="2:5">
      <c r="B377" s="7">
        <v>42795</v>
      </c>
      <c r="C377">
        <v>0.98</v>
      </c>
      <c r="E377">
        <v>1.77</v>
      </c>
    </row>
    <row r="378" spans="2:5">
      <c r="B378" s="7">
        <v>42826</v>
      </c>
      <c r="C378">
        <v>1</v>
      </c>
      <c r="E378">
        <v>1.72</v>
      </c>
    </row>
    <row r="379" spans="2:5">
      <c r="B379" s="7">
        <v>42856</v>
      </c>
      <c r="C379">
        <v>1.06</v>
      </c>
      <c r="E379">
        <v>1.74</v>
      </c>
    </row>
    <row r="380" spans="2:5">
      <c r="B380" s="7">
        <v>42887</v>
      </c>
      <c r="C380">
        <v>1.22</v>
      </c>
      <c r="E380">
        <v>1.73</v>
      </c>
    </row>
    <row r="381" spans="2:5">
      <c r="B381" s="7">
        <v>42917</v>
      </c>
      <c r="C381">
        <v>1.23</v>
      </c>
      <c r="E381">
        <v>1.71</v>
      </c>
    </row>
    <row r="382" spans="2:5">
      <c r="B382" s="7">
        <v>42948</v>
      </c>
      <c r="C382">
        <v>1.23</v>
      </c>
      <c r="E382">
        <v>1.78</v>
      </c>
    </row>
    <row r="383" spans="2:5">
      <c r="B383" s="7">
        <v>42979</v>
      </c>
      <c r="C383">
        <v>1.23</v>
      </c>
      <c r="E383">
        <v>1.85</v>
      </c>
    </row>
    <row r="384" spans="2:5">
      <c r="B384" s="7">
        <v>43009</v>
      </c>
      <c r="C384">
        <v>1.24</v>
      </c>
      <c r="E384">
        <v>1.95</v>
      </c>
    </row>
    <row r="385" spans="2:5">
      <c r="B385" s="7">
        <v>43040</v>
      </c>
      <c r="C385">
        <v>1.37</v>
      </c>
      <c r="E385">
        <v>2.11</v>
      </c>
    </row>
    <row r="386" spans="2:5">
      <c r="B386" s="7">
        <v>43070</v>
      </c>
      <c r="C386">
        <v>1.56</v>
      </c>
      <c r="E386">
        <v>2.27</v>
      </c>
    </row>
    <row r="387" spans="2:5">
      <c r="B387" s="7">
        <v>43101</v>
      </c>
      <c r="C387">
        <v>1.58</v>
      </c>
      <c r="E387">
        <v>2.5</v>
      </c>
    </row>
    <row r="388" spans="2:5">
      <c r="B388" s="7">
        <v>43132</v>
      </c>
      <c r="C388">
        <v>1.67</v>
      </c>
      <c r="E388">
        <v>2.66</v>
      </c>
    </row>
    <row r="389" spans="2:5">
      <c r="B389" s="7">
        <v>43160</v>
      </c>
      <c r="C389">
        <v>1.88</v>
      </c>
      <c r="E389">
        <v>2.77</v>
      </c>
    </row>
    <row r="390" spans="2:5">
      <c r="B390" s="7">
        <v>43191</v>
      </c>
      <c r="C390">
        <v>1.91</v>
      </c>
      <c r="E390">
        <v>2.72</v>
      </c>
    </row>
    <row r="391" spans="2:5">
      <c r="B391" s="7">
        <v>43221</v>
      </c>
      <c r="C391">
        <v>2</v>
      </c>
      <c r="E391">
        <v>2.76</v>
      </c>
    </row>
    <row r="392" spans="2:5">
      <c r="B392" s="7">
        <v>43252</v>
      </c>
      <c r="C392">
        <v>2.09</v>
      </c>
      <c r="E392">
        <v>2.83</v>
      </c>
    </row>
    <row r="393" spans="2:5">
      <c r="B393" s="7">
        <v>43282</v>
      </c>
      <c r="C393">
        <v>2.08</v>
      </c>
      <c r="E393">
        <v>2.84</v>
      </c>
    </row>
    <row r="394" spans="2:5">
      <c r="B394" s="7">
        <v>43313</v>
      </c>
      <c r="C394">
        <v>2.11</v>
      </c>
      <c r="E394">
        <v>2.92</v>
      </c>
    </row>
    <row r="395" spans="2:5">
      <c r="B395" s="7">
        <v>43344</v>
      </c>
      <c r="C395">
        <v>2.2599999999999998</v>
      </c>
      <c r="E395">
        <v>3.08</v>
      </c>
    </row>
    <row r="396" spans="2:5">
      <c r="B396" s="7">
        <v>43374</v>
      </c>
      <c r="C396">
        <v>2.31</v>
      </c>
      <c r="E396">
        <v>3.12</v>
      </c>
    </row>
    <row r="397" spans="2:5">
      <c r="B397" s="7">
        <v>43405</v>
      </c>
      <c r="C397">
        <v>2.35</v>
      </c>
      <c r="E397">
        <v>3.01</v>
      </c>
    </row>
    <row r="398" spans="2:5">
      <c r="B398" s="7">
        <v>43435</v>
      </c>
      <c r="C398">
        <v>2.52</v>
      </c>
      <c r="E398">
        <v>2.98</v>
      </c>
    </row>
    <row r="399" spans="2:5">
      <c r="B399" s="7">
        <v>43466</v>
      </c>
      <c r="C399">
        <v>2.5099999999999998</v>
      </c>
      <c r="E399">
        <v>2.87</v>
      </c>
    </row>
    <row r="400" spans="2:5">
      <c r="B400" s="7">
        <v>43497</v>
      </c>
      <c r="C400">
        <v>2.4900000000000002</v>
      </c>
      <c r="E400">
        <v>2.71</v>
      </c>
    </row>
    <row r="401" spans="2:5">
      <c r="B401" s="7">
        <v>43525</v>
      </c>
      <c r="C401">
        <v>2.5</v>
      </c>
      <c r="E401">
        <v>2.72</v>
      </c>
    </row>
    <row r="402" spans="2:5">
      <c r="B402" s="7">
        <v>43556</v>
      </c>
      <c r="C402">
        <v>2.48</v>
      </c>
      <c r="E402">
        <v>2.5099999999999998</v>
      </c>
    </row>
    <row r="403" spans="2:5">
      <c r="B403" s="7">
        <v>43586</v>
      </c>
      <c r="C403">
        <v>2.4300000000000002</v>
      </c>
      <c r="E403">
        <v>2.1800000000000002</v>
      </c>
    </row>
    <row r="404" spans="2:5">
      <c r="B404" s="7">
        <v>43617</v>
      </c>
      <c r="C404">
        <v>2.4</v>
      </c>
      <c r="E404">
        <v>2.19</v>
      </c>
    </row>
    <row r="405" spans="2:5">
      <c r="B405" s="7">
        <v>43647</v>
      </c>
      <c r="C405">
        <v>2.2200000000000002</v>
      </c>
      <c r="E405">
        <v>1.97</v>
      </c>
    </row>
    <row r="406" spans="2:5">
      <c r="B406" s="7">
        <v>43678</v>
      </c>
      <c r="C406">
        <v>2.09</v>
      </c>
      <c r="E406">
        <v>2.0299999999999998</v>
      </c>
    </row>
    <row r="407" spans="2:5">
      <c r="B407" s="7">
        <v>43709</v>
      </c>
      <c r="C407">
        <v>2.02</v>
      </c>
      <c r="E407">
        <v>1.96</v>
      </c>
    </row>
    <row r="408" spans="2:5">
      <c r="B408" s="7">
        <v>43739</v>
      </c>
      <c r="C408">
        <v>1.79</v>
      </c>
      <c r="E408">
        <v>1.95</v>
      </c>
    </row>
    <row r="409" spans="2:5">
      <c r="B409" s="7">
        <v>43770</v>
      </c>
      <c r="C409">
        <v>1.7</v>
      </c>
      <c r="E409">
        <v>2</v>
      </c>
    </row>
    <row r="410" spans="2:5">
      <c r="B410" s="7">
        <v>43800</v>
      </c>
      <c r="C410">
        <v>1.76</v>
      </c>
      <c r="E410">
        <v>1.81</v>
      </c>
    </row>
    <row r="411" spans="2:5">
      <c r="B411" s="7">
        <v>43831</v>
      </c>
      <c r="C411">
        <v>1.66</v>
      </c>
      <c r="E411">
        <v>1.38</v>
      </c>
    </row>
    <row r="412" spans="2:5">
      <c r="B412" s="7">
        <v>43862</v>
      </c>
      <c r="C412">
        <v>1.52</v>
      </c>
      <c r="E412">
        <v>1</v>
      </c>
    </row>
    <row r="413" spans="2:5">
      <c r="B413" s="7">
        <v>43891</v>
      </c>
      <c r="C413">
        <v>0.99</v>
      </c>
      <c r="E413">
        <v>0.87</v>
      </c>
    </row>
    <row r="414" spans="2:5">
      <c r="B414" s="7">
        <v>43922</v>
      </c>
      <c r="C414">
        <v>0.33</v>
      </c>
      <c r="E414">
        <v>0.67</v>
      </c>
    </row>
    <row r="415" spans="2:5">
      <c r="B415" s="7">
        <v>43952</v>
      </c>
      <c r="C415">
        <v>0.18</v>
      </c>
      <c r="E415">
        <v>0.55000000000000004</v>
      </c>
    </row>
    <row r="416" spans="2:5">
      <c r="B416" s="7">
        <v>43983</v>
      </c>
      <c r="C416">
        <v>0.16</v>
      </c>
      <c r="E416">
        <v>0.45</v>
      </c>
    </row>
    <row r="417" spans="1:5">
      <c r="B417" s="7">
        <v>44013</v>
      </c>
      <c r="C417">
        <v>0.16</v>
      </c>
      <c r="E417">
        <v>0.45</v>
      </c>
    </row>
    <row r="418" spans="1:5">
      <c r="B418" s="7">
        <v>44044</v>
      </c>
      <c r="C418">
        <v>0.16</v>
      </c>
      <c r="E418">
        <v>0.43</v>
      </c>
    </row>
    <row r="419" spans="1:5">
      <c r="B419" s="7">
        <v>44075</v>
      </c>
      <c r="C419">
        <v>0.16</v>
      </c>
    </row>
    <row r="423" spans="1:5">
      <c r="A423" t="s">
        <v>13</v>
      </c>
      <c r="B423" s="16" t="s">
        <v>713</v>
      </c>
      <c r="C423" s="16"/>
    </row>
    <row r="424" spans="1:5">
      <c r="B424" s="16" t="s">
        <v>714</v>
      </c>
      <c r="C424" s="16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AA761-78FA-4F72-A368-E768CE8FB255}">
  <dimension ref="A1:BP281"/>
  <sheetViews>
    <sheetView showGridLines="0" workbookViewId="0">
      <selection activeCell="A281" sqref="A281"/>
    </sheetView>
  </sheetViews>
  <sheetFormatPr baseColWidth="10" defaultColWidth="8.83203125" defaultRowHeight="15"/>
  <cols>
    <col min="1" max="1" width="44.1640625" bestFit="1" customWidth="1"/>
    <col min="2" max="2" width="25.6640625" bestFit="1" customWidth="1"/>
    <col min="3" max="3" width="19.6640625" bestFit="1" customWidth="1"/>
    <col min="4" max="4" width="17.6640625" bestFit="1" customWidth="1"/>
    <col min="5" max="5" width="5" bestFit="1" customWidth="1"/>
    <col min="6" max="67" width="12.1640625" bestFit="1" customWidth="1"/>
    <col min="257" max="257" width="44.1640625" bestFit="1" customWidth="1"/>
    <col min="258" max="258" width="25.6640625" bestFit="1" customWidth="1"/>
    <col min="259" max="259" width="19.6640625" bestFit="1" customWidth="1"/>
    <col min="260" max="260" width="17.6640625" bestFit="1" customWidth="1"/>
    <col min="261" max="261" width="5" bestFit="1" customWidth="1"/>
    <col min="262" max="323" width="12.1640625" bestFit="1" customWidth="1"/>
    <col min="513" max="513" width="44.1640625" bestFit="1" customWidth="1"/>
    <col min="514" max="514" width="25.6640625" bestFit="1" customWidth="1"/>
    <col min="515" max="515" width="19.6640625" bestFit="1" customWidth="1"/>
    <col min="516" max="516" width="17.6640625" bestFit="1" customWidth="1"/>
    <col min="517" max="517" width="5" bestFit="1" customWidth="1"/>
    <col min="518" max="579" width="12.1640625" bestFit="1" customWidth="1"/>
    <col min="769" max="769" width="44.1640625" bestFit="1" customWidth="1"/>
    <col min="770" max="770" width="25.6640625" bestFit="1" customWidth="1"/>
    <col min="771" max="771" width="19.6640625" bestFit="1" customWidth="1"/>
    <col min="772" max="772" width="17.6640625" bestFit="1" customWidth="1"/>
    <col min="773" max="773" width="5" bestFit="1" customWidth="1"/>
    <col min="774" max="835" width="12.1640625" bestFit="1" customWidth="1"/>
    <col min="1025" max="1025" width="44.1640625" bestFit="1" customWidth="1"/>
    <col min="1026" max="1026" width="25.6640625" bestFit="1" customWidth="1"/>
    <col min="1027" max="1027" width="19.6640625" bestFit="1" customWidth="1"/>
    <col min="1028" max="1028" width="17.6640625" bestFit="1" customWidth="1"/>
    <col min="1029" max="1029" width="5" bestFit="1" customWidth="1"/>
    <col min="1030" max="1091" width="12.1640625" bestFit="1" customWidth="1"/>
    <col min="1281" max="1281" width="44.1640625" bestFit="1" customWidth="1"/>
    <col min="1282" max="1282" width="25.6640625" bestFit="1" customWidth="1"/>
    <col min="1283" max="1283" width="19.6640625" bestFit="1" customWidth="1"/>
    <col min="1284" max="1284" width="17.6640625" bestFit="1" customWidth="1"/>
    <col min="1285" max="1285" width="5" bestFit="1" customWidth="1"/>
    <col min="1286" max="1347" width="12.1640625" bestFit="1" customWidth="1"/>
    <col min="1537" max="1537" width="44.1640625" bestFit="1" customWidth="1"/>
    <col min="1538" max="1538" width="25.6640625" bestFit="1" customWidth="1"/>
    <col min="1539" max="1539" width="19.6640625" bestFit="1" customWidth="1"/>
    <col min="1540" max="1540" width="17.6640625" bestFit="1" customWidth="1"/>
    <col min="1541" max="1541" width="5" bestFit="1" customWidth="1"/>
    <col min="1542" max="1603" width="12.1640625" bestFit="1" customWidth="1"/>
    <col min="1793" max="1793" width="44.1640625" bestFit="1" customWidth="1"/>
    <col min="1794" max="1794" width="25.6640625" bestFit="1" customWidth="1"/>
    <col min="1795" max="1795" width="19.6640625" bestFit="1" customWidth="1"/>
    <col min="1796" max="1796" width="17.6640625" bestFit="1" customWidth="1"/>
    <col min="1797" max="1797" width="5" bestFit="1" customWidth="1"/>
    <col min="1798" max="1859" width="12.1640625" bestFit="1" customWidth="1"/>
    <col min="2049" max="2049" width="44.1640625" bestFit="1" customWidth="1"/>
    <col min="2050" max="2050" width="25.6640625" bestFit="1" customWidth="1"/>
    <col min="2051" max="2051" width="19.6640625" bestFit="1" customWidth="1"/>
    <col min="2052" max="2052" width="17.6640625" bestFit="1" customWidth="1"/>
    <col min="2053" max="2053" width="5" bestFit="1" customWidth="1"/>
    <col min="2054" max="2115" width="12.1640625" bestFit="1" customWidth="1"/>
    <col min="2305" max="2305" width="44.1640625" bestFit="1" customWidth="1"/>
    <col min="2306" max="2306" width="25.6640625" bestFit="1" customWidth="1"/>
    <col min="2307" max="2307" width="19.6640625" bestFit="1" customWidth="1"/>
    <col min="2308" max="2308" width="17.6640625" bestFit="1" customWidth="1"/>
    <col min="2309" max="2309" width="5" bestFit="1" customWidth="1"/>
    <col min="2310" max="2371" width="12.1640625" bestFit="1" customWidth="1"/>
    <col min="2561" max="2561" width="44.1640625" bestFit="1" customWidth="1"/>
    <col min="2562" max="2562" width="25.6640625" bestFit="1" customWidth="1"/>
    <col min="2563" max="2563" width="19.6640625" bestFit="1" customWidth="1"/>
    <col min="2564" max="2564" width="17.6640625" bestFit="1" customWidth="1"/>
    <col min="2565" max="2565" width="5" bestFit="1" customWidth="1"/>
    <col min="2566" max="2627" width="12.1640625" bestFit="1" customWidth="1"/>
    <col min="2817" max="2817" width="44.1640625" bestFit="1" customWidth="1"/>
    <col min="2818" max="2818" width="25.6640625" bestFit="1" customWidth="1"/>
    <col min="2819" max="2819" width="19.6640625" bestFit="1" customWidth="1"/>
    <col min="2820" max="2820" width="17.6640625" bestFit="1" customWidth="1"/>
    <col min="2821" max="2821" width="5" bestFit="1" customWidth="1"/>
    <col min="2822" max="2883" width="12.1640625" bestFit="1" customWidth="1"/>
    <col min="3073" max="3073" width="44.1640625" bestFit="1" customWidth="1"/>
    <col min="3074" max="3074" width="25.6640625" bestFit="1" customWidth="1"/>
    <col min="3075" max="3075" width="19.6640625" bestFit="1" customWidth="1"/>
    <col min="3076" max="3076" width="17.6640625" bestFit="1" customWidth="1"/>
    <col min="3077" max="3077" width="5" bestFit="1" customWidth="1"/>
    <col min="3078" max="3139" width="12.1640625" bestFit="1" customWidth="1"/>
    <col min="3329" max="3329" width="44.1640625" bestFit="1" customWidth="1"/>
    <col min="3330" max="3330" width="25.6640625" bestFit="1" customWidth="1"/>
    <col min="3331" max="3331" width="19.6640625" bestFit="1" customWidth="1"/>
    <col min="3332" max="3332" width="17.6640625" bestFit="1" customWidth="1"/>
    <col min="3333" max="3333" width="5" bestFit="1" customWidth="1"/>
    <col min="3334" max="3395" width="12.1640625" bestFit="1" customWidth="1"/>
    <col min="3585" max="3585" width="44.1640625" bestFit="1" customWidth="1"/>
    <col min="3586" max="3586" width="25.6640625" bestFit="1" customWidth="1"/>
    <col min="3587" max="3587" width="19.6640625" bestFit="1" customWidth="1"/>
    <col min="3588" max="3588" width="17.6640625" bestFit="1" customWidth="1"/>
    <col min="3589" max="3589" width="5" bestFit="1" customWidth="1"/>
    <col min="3590" max="3651" width="12.1640625" bestFit="1" customWidth="1"/>
    <col min="3841" max="3841" width="44.1640625" bestFit="1" customWidth="1"/>
    <col min="3842" max="3842" width="25.6640625" bestFit="1" customWidth="1"/>
    <col min="3843" max="3843" width="19.6640625" bestFit="1" customWidth="1"/>
    <col min="3844" max="3844" width="17.6640625" bestFit="1" customWidth="1"/>
    <col min="3845" max="3845" width="5" bestFit="1" customWidth="1"/>
    <col min="3846" max="3907" width="12.1640625" bestFit="1" customWidth="1"/>
    <col min="4097" max="4097" width="44.1640625" bestFit="1" customWidth="1"/>
    <col min="4098" max="4098" width="25.6640625" bestFit="1" customWidth="1"/>
    <col min="4099" max="4099" width="19.6640625" bestFit="1" customWidth="1"/>
    <col min="4100" max="4100" width="17.6640625" bestFit="1" customWidth="1"/>
    <col min="4101" max="4101" width="5" bestFit="1" customWidth="1"/>
    <col min="4102" max="4163" width="12.1640625" bestFit="1" customWidth="1"/>
    <col min="4353" max="4353" width="44.1640625" bestFit="1" customWidth="1"/>
    <col min="4354" max="4354" width="25.6640625" bestFit="1" customWidth="1"/>
    <col min="4355" max="4355" width="19.6640625" bestFit="1" customWidth="1"/>
    <col min="4356" max="4356" width="17.6640625" bestFit="1" customWidth="1"/>
    <col min="4357" max="4357" width="5" bestFit="1" customWidth="1"/>
    <col min="4358" max="4419" width="12.1640625" bestFit="1" customWidth="1"/>
    <col min="4609" max="4609" width="44.1640625" bestFit="1" customWidth="1"/>
    <col min="4610" max="4610" width="25.6640625" bestFit="1" customWidth="1"/>
    <col min="4611" max="4611" width="19.6640625" bestFit="1" customWidth="1"/>
    <col min="4612" max="4612" width="17.6640625" bestFit="1" customWidth="1"/>
    <col min="4613" max="4613" width="5" bestFit="1" customWidth="1"/>
    <col min="4614" max="4675" width="12.1640625" bestFit="1" customWidth="1"/>
    <col min="4865" max="4865" width="44.1640625" bestFit="1" customWidth="1"/>
    <col min="4866" max="4866" width="25.6640625" bestFit="1" customWidth="1"/>
    <col min="4867" max="4867" width="19.6640625" bestFit="1" customWidth="1"/>
    <col min="4868" max="4868" width="17.6640625" bestFit="1" customWidth="1"/>
    <col min="4869" max="4869" width="5" bestFit="1" customWidth="1"/>
    <col min="4870" max="4931" width="12.1640625" bestFit="1" customWidth="1"/>
    <col min="5121" max="5121" width="44.1640625" bestFit="1" customWidth="1"/>
    <col min="5122" max="5122" width="25.6640625" bestFit="1" customWidth="1"/>
    <col min="5123" max="5123" width="19.6640625" bestFit="1" customWidth="1"/>
    <col min="5124" max="5124" width="17.6640625" bestFit="1" customWidth="1"/>
    <col min="5125" max="5125" width="5" bestFit="1" customWidth="1"/>
    <col min="5126" max="5187" width="12.1640625" bestFit="1" customWidth="1"/>
    <col min="5377" max="5377" width="44.1640625" bestFit="1" customWidth="1"/>
    <col min="5378" max="5378" width="25.6640625" bestFit="1" customWidth="1"/>
    <col min="5379" max="5379" width="19.6640625" bestFit="1" customWidth="1"/>
    <col min="5380" max="5380" width="17.6640625" bestFit="1" customWidth="1"/>
    <col min="5381" max="5381" width="5" bestFit="1" customWidth="1"/>
    <col min="5382" max="5443" width="12.1640625" bestFit="1" customWidth="1"/>
    <col min="5633" max="5633" width="44.1640625" bestFit="1" customWidth="1"/>
    <col min="5634" max="5634" width="25.6640625" bestFit="1" customWidth="1"/>
    <col min="5635" max="5635" width="19.6640625" bestFit="1" customWidth="1"/>
    <col min="5636" max="5636" width="17.6640625" bestFit="1" customWidth="1"/>
    <col min="5637" max="5637" width="5" bestFit="1" customWidth="1"/>
    <col min="5638" max="5699" width="12.1640625" bestFit="1" customWidth="1"/>
    <col min="5889" max="5889" width="44.1640625" bestFit="1" customWidth="1"/>
    <col min="5890" max="5890" width="25.6640625" bestFit="1" customWidth="1"/>
    <col min="5891" max="5891" width="19.6640625" bestFit="1" customWidth="1"/>
    <col min="5892" max="5892" width="17.6640625" bestFit="1" customWidth="1"/>
    <col min="5893" max="5893" width="5" bestFit="1" customWidth="1"/>
    <col min="5894" max="5955" width="12.1640625" bestFit="1" customWidth="1"/>
    <col min="6145" max="6145" width="44.1640625" bestFit="1" customWidth="1"/>
    <col min="6146" max="6146" width="25.6640625" bestFit="1" customWidth="1"/>
    <col min="6147" max="6147" width="19.6640625" bestFit="1" customWidth="1"/>
    <col min="6148" max="6148" width="17.6640625" bestFit="1" customWidth="1"/>
    <col min="6149" max="6149" width="5" bestFit="1" customWidth="1"/>
    <col min="6150" max="6211" width="12.1640625" bestFit="1" customWidth="1"/>
    <col min="6401" max="6401" width="44.1640625" bestFit="1" customWidth="1"/>
    <col min="6402" max="6402" width="25.6640625" bestFit="1" customWidth="1"/>
    <col min="6403" max="6403" width="19.6640625" bestFit="1" customWidth="1"/>
    <col min="6404" max="6404" width="17.6640625" bestFit="1" customWidth="1"/>
    <col min="6405" max="6405" width="5" bestFit="1" customWidth="1"/>
    <col min="6406" max="6467" width="12.1640625" bestFit="1" customWidth="1"/>
    <col min="6657" max="6657" width="44.1640625" bestFit="1" customWidth="1"/>
    <col min="6658" max="6658" width="25.6640625" bestFit="1" customWidth="1"/>
    <col min="6659" max="6659" width="19.6640625" bestFit="1" customWidth="1"/>
    <col min="6660" max="6660" width="17.6640625" bestFit="1" customWidth="1"/>
    <col min="6661" max="6661" width="5" bestFit="1" customWidth="1"/>
    <col min="6662" max="6723" width="12.1640625" bestFit="1" customWidth="1"/>
    <col min="6913" max="6913" width="44.1640625" bestFit="1" customWidth="1"/>
    <col min="6914" max="6914" width="25.6640625" bestFit="1" customWidth="1"/>
    <col min="6915" max="6915" width="19.6640625" bestFit="1" customWidth="1"/>
    <col min="6916" max="6916" width="17.6640625" bestFit="1" customWidth="1"/>
    <col min="6917" max="6917" width="5" bestFit="1" customWidth="1"/>
    <col min="6918" max="6979" width="12.1640625" bestFit="1" customWidth="1"/>
    <col min="7169" max="7169" width="44.1640625" bestFit="1" customWidth="1"/>
    <col min="7170" max="7170" width="25.6640625" bestFit="1" customWidth="1"/>
    <col min="7171" max="7171" width="19.6640625" bestFit="1" customWidth="1"/>
    <col min="7172" max="7172" width="17.6640625" bestFit="1" customWidth="1"/>
    <col min="7173" max="7173" width="5" bestFit="1" customWidth="1"/>
    <col min="7174" max="7235" width="12.1640625" bestFit="1" customWidth="1"/>
    <col min="7425" max="7425" width="44.1640625" bestFit="1" customWidth="1"/>
    <col min="7426" max="7426" width="25.6640625" bestFit="1" customWidth="1"/>
    <col min="7427" max="7427" width="19.6640625" bestFit="1" customWidth="1"/>
    <col min="7428" max="7428" width="17.6640625" bestFit="1" customWidth="1"/>
    <col min="7429" max="7429" width="5" bestFit="1" customWidth="1"/>
    <col min="7430" max="7491" width="12.1640625" bestFit="1" customWidth="1"/>
    <col min="7681" max="7681" width="44.1640625" bestFit="1" customWidth="1"/>
    <col min="7682" max="7682" width="25.6640625" bestFit="1" customWidth="1"/>
    <col min="7683" max="7683" width="19.6640625" bestFit="1" customWidth="1"/>
    <col min="7684" max="7684" width="17.6640625" bestFit="1" customWidth="1"/>
    <col min="7685" max="7685" width="5" bestFit="1" customWidth="1"/>
    <col min="7686" max="7747" width="12.1640625" bestFit="1" customWidth="1"/>
    <col min="7937" max="7937" width="44.1640625" bestFit="1" customWidth="1"/>
    <col min="7938" max="7938" width="25.6640625" bestFit="1" customWidth="1"/>
    <col min="7939" max="7939" width="19.6640625" bestFit="1" customWidth="1"/>
    <col min="7940" max="7940" width="17.6640625" bestFit="1" customWidth="1"/>
    <col min="7941" max="7941" width="5" bestFit="1" customWidth="1"/>
    <col min="7942" max="8003" width="12.1640625" bestFit="1" customWidth="1"/>
    <col min="8193" max="8193" width="44.1640625" bestFit="1" customWidth="1"/>
    <col min="8194" max="8194" width="25.6640625" bestFit="1" customWidth="1"/>
    <col min="8195" max="8195" width="19.6640625" bestFit="1" customWidth="1"/>
    <col min="8196" max="8196" width="17.6640625" bestFit="1" customWidth="1"/>
    <col min="8197" max="8197" width="5" bestFit="1" customWidth="1"/>
    <col min="8198" max="8259" width="12.1640625" bestFit="1" customWidth="1"/>
    <col min="8449" max="8449" width="44.1640625" bestFit="1" customWidth="1"/>
    <col min="8450" max="8450" width="25.6640625" bestFit="1" customWidth="1"/>
    <col min="8451" max="8451" width="19.6640625" bestFit="1" customWidth="1"/>
    <col min="8452" max="8452" width="17.6640625" bestFit="1" customWidth="1"/>
    <col min="8453" max="8453" width="5" bestFit="1" customWidth="1"/>
    <col min="8454" max="8515" width="12.1640625" bestFit="1" customWidth="1"/>
    <col min="8705" max="8705" width="44.1640625" bestFit="1" customWidth="1"/>
    <col min="8706" max="8706" width="25.6640625" bestFit="1" customWidth="1"/>
    <col min="8707" max="8707" width="19.6640625" bestFit="1" customWidth="1"/>
    <col min="8708" max="8708" width="17.6640625" bestFit="1" customWidth="1"/>
    <col min="8709" max="8709" width="5" bestFit="1" customWidth="1"/>
    <col min="8710" max="8771" width="12.1640625" bestFit="1" customWidth="1"/>
    <col min="8961" max="8961" width="44.1640625" bestFit="1" customWidth="1"/>
    <col min="8962" max="8962" width="25.6640625" bestFit="1" customWidth="1"/>
    <col min="8963" max="8963" width="19.6640625" bestFit="1" customWidth="1"/>
    <col min="8964" max="8964" width="17.6640625" bestFit="1" customWidth="1"/>
    <col min="8965" max="8965" width="5" bestFit="1" customWidth="1"/>
    <col min="8966" max="9027" width="12.1640625" bestFit="1" customWidth="1"/>
    <col min="9217" max="9217" width="44.1640625" bestFit="1" customWidth="1"/>
    <col min="9218" max="9218" width="25.6640625" bestFit="1" customWidth="1"/>
    <col min="9219" max="9219" width="19.6640625" bestFit="1" customWidth="1"/>
    <col min="9220" max="9220" width="17.6640625" bestFit="1" customWidth="1"/>
    <col min="9221" max="9221" width="5" bestFit="1" customWidth="1"/>
    <col min="9222" max="9283" width="12.1640625" bestFit="1" customWidth="1"/>
    <col min="9473" max="9473" width="44.1640625" bestFit="1" customWidth="1"/>
    <col min="9474" max="9474" width="25.6640625" bestFit="1" customWidth="1"/>
    <col min="9475" max="9475" width="19.6640625" bestFit="1" customWidth="1"/>
    <col min="9476" max="9476" width="17.6640625" bestFit="1" customWidth="1"/>
    <col min="9477" max="9477" width="5" bestFit="1" customWidth="1"/>
    <col min="9478" max="9539" width="12.1640625" bestFit="1" customWidth="1"/>
    <col min="9729" max="9729" width="44.1640625" bestFit="1" customWidth="1"/>
    <col min="9730" max="9730" width="25.6640625" bestFit="1" customWidth="1"/>
    <col min="9731" max="9731" width="19.6640625" bestFit="1" customWidth="1"/>
    <col min="9732" max="9732" width="17.6640625" bestFit="1" customWidth="1"/>
    <col min="9733" max="9733" width="5" bestFit="1" customWidth="1"/>
    <col min="9734" max="9795" width="12.1640625" bestFit="1" customWidth="1"/>
    <col min="9985" max="9985" width="44.1640625" bestFit="1" customWidth="1"/>
    <col min="9986" max="9986" width="25.6640625" bestFit="1" customWidth="1"/>
    <col min="9987" max="9987" width="19.6640625" bestFit="1" customWidth="1"/>
    <col min="9988" max="9988" width="17.6640625" bestFit="1" customWidth="1"/>
    <col min="9989" max="9989" width="5" bestFit="1" customWidth="1"/>
    <col min="9990" max="10051" width="12.1640625" bestFit="1" customWidth="1"/>
    <col min="10241" max="10241" width="44.1640625" bestFit="1" customWidth="1"/>
    <col min="10242" max="10242" width="25.6640625" bestFit="1" customWidth="1"/>
    <col min="10243" max="10243" width="19.6640625" bestFit="1" customWidth="1"/>
    <col min="10244" max="10244" width="17.6640625" bestFit="1" customWidth="1"/>
    <col min="10245" max="10245" width="5" bestFit="1" customWidth="1"/>
    <col min="10246" max="10307" width="12.1640625" bestFit="1" customWidth="1"/>
    <col min="10497" max="10497" width="44.1640625" bestFit="1" customWidth="1"/>
    <col min="10498" max="10498" width="25.6640625" bestFit="1" customWidth="1"/>
    <col min="10499" max="10499" width="19.6640625" bestFit="1" customWidth="1"/>
    <col min="10500" max="10500" width="17.6640625" bestFit="1" customWidth="1"/>
    <col min="10501" max="10501" width="5" bestFit="1" customWidth="1"/>
    <col min="10502" max="10563" width="12.1640625" bestFit="1" customWidth="1"/>
    <col min="10753" max="10753" width="44.1640625" bestFit="1" customWidth="1"/>
    <col min="10754" max="10754" width="25.6640625" bestFit="1" customWidth="1"/>
    <col min="10755" max="10755" width="19.6640625" bestFit="1" customWidth="1"/>
    <col min="10756" max="10756" width="17.6640625" bestFit="1" customWidth="1"/>
    <col min="10757" max="10757" width="5" bestFit="1" customWidth="1"/>
    <col min="10758" max="10819" width="12.1640625" bestFit="1" customWidth="1"/>
    <col min="11009" max="11009" width="44.1640625" bestFit="1" customWidth="1"/>
    <col min="11010" max="11010" width="25.6640625" bestFit="1" customWidth="1"/>
    <col min="11011" max="11011" width="19.6640625" bestFit="1" customWidth="1"/>
    <col min="11012" max="11012" width="17.6640625" bestFit="1" customWidth="1"/>
    <col min="11013" max="11013" width="5" bestFit="1" customWidth="1"/>
    <col min="11014" max="11075" width="12.1640625" bestFit="1" customWidth="1"/>
    <col min="11265" max="11265" width="44.1640625" bestFit="1" customWidth="1"/>
    <col min="11266" max="11266" width="25.6640625" bestFit="1" customWidth="1"/>
    <col min="11267" max="11267" width="19.6640625" bestFit="1" customWidth="1"/>
    <col min="11268" max="11268" width="17.6640625" bestFit="1" customWidth="1"/>
    <col min="11269" max="11269" width="5" bestFit="1" customWidth="1"/>
    <col min="11270" max="11331" width="12.1640625" bestFit="1" customWidth="1"/>
    <col min="11521" max="11521" width="44.1640625" bestFit="1" customWidth="1"/>
    <col min="11522" max="11522" width="25.6640625" bestFit="1" customWidth="1"/>
    <col min="11523" max="11523" width="19.6640625" bestFit="1" customWidth="1"/>
    <col min="11524" max="11524" width="17.6640625" bestFit="1" customWidth="1"/>
    <col min="11525" max="11525" width="5" bestFit="1" customWidth="1"/>
    <col min="11526" max="11587" width="12.1640625" bestFit="1" customWidth="1"/>
    <col min="11777" max="11777" width="44.1640625" bestFit="1" customWidth="1"/>
    <col min="11778" max="11778" width="25.6640625" bestFit="1" customWidth="1"/>
    <col min="11779" max="11779" width="19.6640625" bestFit="1" customWidth="1"/>
    <col min="11780" max="11780" width="17.6640625" bestFit="1" customWidth="1"/>
    <col min="11781" max="11781" width="5" bestFit="1" customWidth="1"/>
    <col min="11782" max="11843" width="12.1640625" bestFit="1" customWidth="1"/>
    <col min="12033" max="12033" width="44.1640625" bestFit="1" customWidth="1"/>
    <col min="12034" max="12034" width="25.6640625" bestFit="1" customWidth="1"/>
    <col min="12035" max="12035" width="19.6640625" bestFit="1" customWidth="1"/>
    <col min="12036" max="12036" width="17.6640625" bestFit="1" customWidth="1"/>
    <col min="12037" max="12037" width="5" bestFit="1" customWidth="1"/>
    <col min="12038" max="12099" width="12.1640625" bestFit="1" customWidth="1"/>
    <col min="12289" max="12289" width="44.1640625" bestFit="1" customWidth="1"/>
    <col min="12290" max="12290" width="25.6640625" bestFit="1" customWidth="1"/>
    <col min="12291" max="12291" width="19.6640625" bestFit="1" customWidth="1"/>
    <col min="12292" max="12292" width="17.6640625" bestFit="1" customWidth="1"/>
    <col min="12293" max="12293" width="5" bestFit="1" customWidth="1"/>
    <col min="12294" max="12355" width="12.1640625" bestFit="1" customWidth="1"/>
    <col min="12545" max="12545" width="44.1640625" bestFit="1" customWidth="1"/>
    <col min="12546" max="12546" width="25.6640625" bestFit="1" customWidth="1"/>
    <col min="12547" max="12547" width="19.6640625" bestFit="1" customWidth="1"/>
    <col min="12548" max="12548" width="17.6640625" bestFit="1" customWidth="1"/>
    <col min="12549" max="12549" width="5" bestFit="1" customWidth="1"/>
    <col min="12550" max="12611" width="12.1640625" bestFit="1" customWidth="1"/>
    <col min="12801" max="12801" width="44.1640625" bestFit="1" customWidth="1"/>
    <col min="12802" max="12802" width="25.6640625" bestFit="1" customWidth="1"/>
    <col min="12803" max="12803" width="19.6640625" bestFit="1" customWidth="1"/>
    <col min="12804" max="12804" width="17.6640625" bestFit="1" customWidth="1"/>
    <col min="12805" max="12805" width="5" bestFit="1" customWidth="1"/>
    <col min="12806" max="12867" width="12.1640625" bestFit="1" customWidth="1"/>
    <col min="13057" max="13057" width="44.1640625" bestFit="1" customWidth="1"/>
    <col min="13058" max="13058" width="25.6640625" bestFit="1" customWidth="1"/>
    <col min="13059" max="13059" width="19.6640625" bestFit="1" customWidth="1"/>
    <col min="13060" max="13060" width="17.6640625" bestFit="1" customWidth="1"/>
    <col min="13061" max="13061" width="5" bestFit="1" customWidth="1"/>
    <col min="13062" max="13123" width="12.1640625" bestFit="1" customWidth="1"/>
    <col min="13313" max="13313" width="44.1640625" bestFit="1" customWidth="1"/>
    <col min="13314" max="13314" width="25.6640625" bestFit="1" customWidth="1"/>
    <col min="13315" max="13315" width="19.6640625" bestFit="1" customWidth="1"/>
    <col min="13316" max="13316" width="17.6640625" bestFit="1" customWidth="1"/>
    <col min="13317" max="13317" width="5" bestFit="1" customWidth="1"/>
    <col min="13318" max="13379" width="12.1640625" bestFit="1" customWidth="1"/>
    <col min="13569" max="13569" width="44.1640625" bestFit="1" customWidth="1"/>
    <col min="13570" max="13570" width="25.6640625" bestFit="1" customWidth="1"/>
    <col min="13571" max="13571" width="19.6640625" bestFit="1" customWidth="1"/>
    <col min="13572" max="13572" width="17.6640625" bestFit="1" customWidth="1"/>
    <col min="13573" max="13573" width="5" bestFit="1" customWidth="1"/>
    <col min="13574" max="13635" width="12.1640625" bestFit="1" customWidth="1"/>
    <col min="13825" max="13825" width="44.1640625" bestFit="1" customWidth="1"/>
    <col min="13826" max="13826" width="25.6640625" bestFit="1" customWidth="1"/>
    <col min="13827" max="13827" width="19.6640625" bestFit="1" customWidth="1"/>
    <col min="13828" max="13828" width="17.6640625" bestFit="1" customWidth="1"/>
    <col min="13829" max="13829" width="5" bestFit="1" customWidth="1"/>
    <col min="13830" max="13891" width="12.1640625" bestFit="1" customWidth="1"/>
    <col min="14081" max="14081" width="44.1640625" bestFit="1" customWidth="1"/>
    <col min="14082" max="14082" width="25.6640625" bestFit="1" customWidth="1"/>
    <col min="14083" max="14083" width="19.6640625" bestFit="1" customWidth="1"/>
    <col min="14084" max="14084" width="17.6640625" bestFit="1" customWidth="1"/>
    <col min="14085" max="14085" width="5" bestFit="1" customWidth="1"/>
    <col min="14086" max="14147" width="12.1640625" bestFit="1" customWidth="1"/>
    <col min="14337" max="14337" width="44.1640625" bestFit="1" customWidth="1"/>
    <col min="14338" max="14338" width="25.6640625" bestFit="1" customWidth="1"/>
    <col min="14339" max="14339" width="19.6640625" bestFit="1" customWidth="1"/>
    <col min="14340" max="14340" width="17.6640625" bestFit="1" customWidth="1"/>
    <col min="14341" max="14341" width="5" bestFit="1" customWidth="1"/>
    <col min="14342" max="14403" width="12.1640625" bestFit="1" customWidth="1"/>
    <col min="14593" max="14593" width="44.1640625" bestFit="1" customWidth="1"/>
    <col min="14594" max="14594" width="25.6640625" bestFit="1" customWidth="1"/>
    <col min="14595" max="14595" width="19.6640625" bestFit="1" customWidth="1"/>
    <col min="14596" max="14596" width="17.6640625" bestFit="1" customWidth="1"/>
    <col min="14597" max="14597" width="5" bestFit="1" customWidth="1"/>
    <col min="14598" max="14659" width="12.1640625" bestFit="1" customWidth="1"/>
    <col min="14849" max="14849" width="44.1640625" bestFit="1" customWidth="1"/>
    <col min="14850" max="14850" width="25.6640625" bestFit="1" customWidth="1"/>
    <col min="14851" max="14851" width="19.6640625" bestFit="1" customWidth="1"/>
    <col min="14852" max="14852" width="17.6640625" bestFit="1" customWidth="1"/>
    <col min="14853" max="14853" width="5" bestFit="1" customWidth="1"/>
    <col min="14854" max="14915" width="12.1640625" bestFit="1" customWidth="1"/>
    <col min="15105" max="15105" width="44.1640625" bestFit="1" customWidth="1"/>
    <col min="15106" max="15106" width="25.6640625" bestFit="1" customWidth="1"/>
    <col min="15107" max="15107" width="19.6640625" bestFit="1" customWidth="1"/>
    <col min="15108" max="15108" width="17.6640625" bestFit="1" customWidth="1"/>
    <col min="15109" max="15109" width="5" bestFit="1" customWidth="1"/>
    <col min="15110" max="15171" width="12.1640625" bestFit="1" customWidth="1"/>
    <col min="15361" max="15361" width="44.1640625" bestFit="1" customWidth="1"/>
    <col min="15362" max="15362" width="25.6640625" bestFit="1" customWidth="1"/>
    <col min="15363" max="15363" width="19.6640625" bestFit="1" customWidth="1"/>
    <col min="15364" max="15364" width="17.6640625" bestFit="1" customWidth="1"/>
    <col min="15365" max="15365" width="5" bestFit="1" customWidth="1"/>
    <col min="15366" max="15427" width="12.1640625" bestFit="1" customWidth="1"/>
    <col min="15617" max="15617" width="44.1640625" bestFit="1" customWidth="1"/>
    <col min="15618" max="15618" width="25.6640625" bestFit="1" customWidth="1"/>
    <col min="15619" max="15619" width="19.6640625" bestFit="1" customWidth="1"/>
    <col min="15620" max="15620" width="17.6640625" bestFit="1" customWidth="1"/>
    <col min="15621" max="15621" width="5" bestFit="1" customWidth="1"/>
    <col min="15622" max="15683" width="12.1640625" bestFit="1" customWidth="1"/>
    <col min="15873" max="15873" width="44.1640625" bestFit="1" customWidth="1"/>
    <col min="15874" max="15874" width="25.6640625" bestFit="1" customWidth="1"/>
    <col min="15875" max="15875" width="19.6640625" bestFit="1" customWidth="1"/>
    <col min="15876" max="15876" width="17.6640625" bestFit="1" customWidth="1"/>
    <col min="15877" max="15877" width="5" bestFit="1" customWidth="1"/>
    <col min="15878" max="15939" width="12.1640625" bestFit="1" customWidth="1"/>
    <col min="16129" max="16129" width="44.1640625" bestFit="1" customWidth="1"/>
    <col min="16130" max="16130" width="25.6640625" bestFit="1" customWidth="1"/>
    <col min="16131" max="16131" width="19.6640625" bestFit="1" customWidth="1"/>
    <col min="16132" max="16132" width="17.6640625" bestFit="1" customWidth="1"/>
    <col min="16133" max="16133" width="5" bestFit="1" customWidth="1"/>
    <col min="16134" max="16195" width="12.1640625" bestFit="1" customWidth="1"/>
  </cols>
  <sheetData>
    <row r="1" spans="1:67">
      <c r="A1" t="s">
        <v>715</v>
      </c>
      <c r="B1" t="s">
        <v>716</v>
      </c>
    </row>
    <row r="2" spans="1:67">
      <c r="A2" t="s">
        <v>717</v>
      </c>
      <c r="B2" s="7">
        <v>45343</v>
      </c>
    </row>
    <row r="4" spans="1:67">
      <c r="A4" t="s">
        <v>718</v>
      </c>
      <c r="B4" t="s">
        <v>719</v>
      </c>
      <c r="C4" t="s">
        <v>720</v>
      </c>
      <c r="D4" t="s">
        <v>721</v>
      </c>
      <c r="E4" t="s">
        <v>722</v>
      </c>
      <c r="F4" t="s">
        <v>723</v>
      </c>
      <c r="G4" t="s">
        <v>724</v>
      </c>
      <c r="H4" t="s">
        <v>725</v>
      </c>
      <c r="I4" t="s">
        <v>726</v>
      </c>
      <c r="J4" t="s">
        <v>727</v>
      </c>
      <c r="K4" t="s">
        <v>728</v>
      </c>
      <c r="L4" t="s">
        <v>729</v>
      </c>
      <c r="M4" t="s">
        <v>730</v>
      </c>
      <c r="N4" t="s">
        <v>731</v>
      </c>
      <c r="O4" t="s">
        <v>732</v>
      </c>
      <c r="P4" t="s">
        <v>733</v>
      </c>
      <c r="Q4" t="s">
        <v>734</v>
      </c>
      <c r="R4" t="s">
        <v>735</v>
      </c>
      <c r="S4" t="s">
        <v>736</v>
      </c>
      <c r="T4" t="s">
        <v>737</v>
      </c>
      <c r="U4" t="s">
        <v>738</v>
      </c>
      <c r="V4" t="s">
        <v>739</v>
      </c>
      <c r="W4" t="s">
        <v>740</v>
      </c>
      <c r="X4" t="s">
        <v>741</v>
      </c>
      <c r="Y4" t="s">
        <v>742</v>
      </c>
      <c r="Z4" t="s">
        <v>743</v>
      </c>
      <c r="AA4" t="s">
        <v>744</v>
      </c>
      <c r="AB4" t="s">
        <v>745</v>
      </c>
      <c r="AC4" t="s">
        <v>746</v>
      </c>
      <c r="AD4" t="s">
        <v>747</v>
      </c>
      <c r="AE4" t="s">
        <v>748</v>
      </c>
      <c r="AF4" t="s">
        <v>679</v>
      </c>
      <c r="AG4" t="s">
        <v>749</v>
      </c>
      <c r="AH4" t="s">
        <v>681</v>
      </c>
      <c r="AI4" t="s">
        <v>682</v>
      </c>
      <c r="AJ4" t="s">
        <v>750</v>
      </c>
      <c r="AK4" t="s">
        <v>751</v>
      </c>
      <c r="AL4" t="s">
        <v>752</v>
      </c>
      <c r="AM4" t="s">
        <v>753</v>
      </c>
      <c r="AN4" t="s">
        <v>754</v>
      </c>
      <c r="AO4" t="s">
        <v>755</v>
      </c>
      <c r="AP4" t="s">
        <v>756</v>
      </c>
      <c r="AQ4" t="s">
        <v>757</v>
      </c>
      <c r="AR4" t="s">
        <v>758</v>
      </c>
      <c r="AS4" t="s">
        <v>759</v>
      </c>
      <c r="AT4" t="s">
        <v>760</v>
      </c>
      <c r="AU4" t="s">
        <v>761</v>
      </c>
      <c r="AV4" t="s">
        <v>762</v>
      </c>
      <c r="AW4" t="s">
        <v>763</v>
      </c>
      <c r="AX4" t="s">
        <v>764</v>
      </c>
      <c r="AY4" t="s">
        <v>765</v>
      </c>
      <c r="AZ4" t="s">
        <v>766</v>
      </c>
      <c r="BA4" t="s">
        <v>767</v>
      </c>
      <c r="BB4" t="s">
        <v>768</v>
      </c>
      <c r="BC4" t="s">
        <v>769</v>
      </c>
      <c r="BD4" t="s">
        <v>770</v>
      </c>
      <c r="BE4" t="s">
        <v>771</v>
      </c>
      <c r="BF4" t="s">
        <v>772</v>
      </c>
      <c r="BG4" t="s">
        <v>773</v>
      </c>
      <c r="BH4" t="s">
        <v>774</v>
      </c>
      <c r="BI4" t="s">
        <v>775</v>
      </c>
      <c r="BJ4" t="s">
        <v>776</v>
      </c>
      <c r="BK4" t="s">
        <v>777</v>
      </c>
      <c r="BL4" t="s">
        <v>778</v>
      </c>
      <c r="BM4" t="s">
        <v>779</v>
      </c>
      <c r="BN4" t="s">
        <v>780</v>
      </c>
      <c r="BO4" t="s">
        <v>781</v>
      </c>
    </row>
    <row r="5" spans="1:67">
      <c r="A5" t="s">
        <v>782</v>
      </c>
      <c r="B5" t="s">
        <v>783</v>
      </c>
      <c r="C5" t="s">
        <v>784</v>
      </c>
      <c r="D5" t="s">
        <v>785</v>
      </c>
      <c r="AF5">
        <v>16.078431372548692</v>
      </c>
      <c r="AG5">
        <v>18.648648648648873</v>
      </c>
      <c r="AH5">
        <v>12.129840546696897</v>
      </c>
      <c r="AI5">
        <v>3.9614017267647768</v>
      </c>
      <c r="AJ5">
        <v>7.962871744443305</v>
      </c>
      <c r="AK5">
        <v>5.882353953418658</v>
      </c>
      <c r="AL5">
        <v>7.3076932453140557</v>
      </c>
      <c r="AM5">
        <v>8.203901293120893</v>
      </c>
      <c r="AN5">
        <v>2.5471436870469404</v>
      </c>
      <c r="AO5">
        <v>1.1857885113465585</v>
      </c>
      <c r="AP5">
        <v>7.0468749924122136</v>
      </c>
      <c r="AQ5">
        <v>1.991984449061988</v>
      </c>
      <c r="AR5">
        <v>1.2380418420715955</v>
      </c>
      <c r="AS5">
        <v>7.622920639188834</v>
      </c>
      <c r="AT5">
        <v>4.1820026413707438</v>
      </c>
      <c r="AU5">
        <v>-0.94495468085237633</v>
      </c>
      <c r="AV5">
        <v>1.1105050097578868</v>
      </c>
      <c r="AW5">
        <v>7.2937289396575409</v>
      </c>
      <c r="AX5">
        <v>-0.38313960384999746</v>
      </c>
      <c r="AY5">
        <v>1.1274121279253535</v>
      </c>
      <c r="AZ5">
        <v>3.0895439014929167</v>
      </c>
      <c r="BA5">
        <v>1.8357556787408384</v>
      </c>
      <c r="BB5">
        <v>-11.677742029142777</v>
      </c>
      <c r="BC5">
        <v>-2.7334557073901919</v>
      </c>
      <c r="BD5">
        <v>3.3692381220922414</v>
      </c>
      <c r="BE5">
        <v>-1.040800135424675</v>
      </c>
      <c r="BF5">
        <v>6.431481823543848</v>
      </c>
      <c r="BG5">
        <v>-1.5865746436211055</v>
      </c>
      <c r="BH5">
        <v>-0.62362563286265527</v>
      </c>
      <c r="BI5">
        <v>1.7196241156331951</v>
      </c>
      <c r="BJ5">
        <v>7.0485332590202887</v>
      </c>
      <c r="BK5">
        <v>2.3817301255829761</v>
      </c>
      <c r="BL5">
        <v>-2.3028368440137399</v>
      </c>
      <c r="BM5">
        <v>-23.982580345494952</v>
      </c>
      <c r="BN5">
        <v>27.639356968850166</v>
      </c>
      <c r="BO5">
        <v>10.45831735342999</v>
      </c>
    </row>
    <row r="6" spans="1:67">
      <c r="A6" t="s">
        <v>786</v>
      </c>
      <c r="B6" t="s">
        <v>787</v>
      </c>
      <c r="C6" t="s">
        <v>784</v>
      </c>
      <c r="D6" t="s">
        <v>785</v>
      </c>
      <c r="F6">
        <v>0.2548759947178354</v>
      </c>
      <c r="G6">
        <v>7.9658266484898093</v>
      </c>
      <c r="H6">
        <v>5.148205597894588</v>
      </c>
      <c r="I6">
        <v>4.5793168780981546</v>
      </c>
      <c r="J6">
        <v>5.346211137266323</v>
      </c>
      <c r="K6">
        <v>3.935914556613767</v>
      </c>
      <c r="L6">
        <v>5.2605465912358653</v>
      </c>
      <c r="M6">
        <v>4.0107105471307847</v>
      </c>
      <c r="N6">
        <v>5.2799065734903792</v>
      </c>
      <c r="O6">
        <v>4.6832137390221789</v>
      </c>
      <c r="P6">
        <v>5.4007567540418506</v>
      </c>
      <c r="Q6">
        <v>2.164868831991555</v>
      </c>
      <c r="R6">
        <v>4.4396578181411712</v>
      </c>
      <c r="S6">
        <v>5.8929972615776194</v>
      </c>
      <c r="T6">
        <v>1.7477725447805597</v>
      </c>
      <c r="U6">
        <v>2.8580610719515676</v>
      </c>
      <c r="V6">
        <v>1.253908062948156</v>
      </c>
      <c r="W6">
        <v>1.0703976226321714</v>
      </c>
      <c r="X6">
        <v>2.8072322087767816</v>
      </c>
      <c r="Y6">
        <v>5.397545405246774</v>
      </c>
      <c r="Z6">
        <v>4.2822625901387568</v>
      </c>
      <c r="AA6">
        <v>0.51801578303705753</v>
      </c>
      <c r="AB6">
        <v>0.18147650309477115</v>
      </c>
      <c r="AC6">
        <v>3.0276415000016357</v>
      </c>
      <c r="AD6">
        <v>-0.41930130128919529</v>
      </c>
      <c r="AE6">
        <v>2.2898092976916473</v>
      </c>
      <c r="AF6">
        <v>4.2377861894036641</v>
      </c>
      <c r="AG6">
        <v>4.0190121012018807</v>
      </c>
      <c r="AH6">
        <v>2.8969436543339526</v>
      </c>
      <c r="AI6">
        <v>-2.7216081036741002E-2</v>
      </c>
      <c r="AJ6">
        <v>0.13952742504237392</v>
      </c>
      <c r="AK6">
        <v>-2.0007759908638008</v>
      </c>
      <c r="AL6">
        <v>-0.42021552776769511</v>
      </c>
      <c r="AM6">
        <v>1.9827653850539519</v>
      </c>
      <c r="AN6">
        <v>4.3537706265449572</v>
      </c>
      <c r="AO6">
        <v>5.4623213573484293</v>
      </c>
      <c r="AP6">
        <v>4.4434469392327998</v>
      </c>
      <c r="AQ6">
        <v>1.852617931045117</v>
      </c>
      <c r="AR6">
        <v>2.6535537460726744</v>
      </c>
      <c r="AS6">
        <v>3.3485735198061093</v>
      </c>
      <c r="AT6">
        <v>3.6365531933786315</v>
      </c>
      <c r="AU6">
        <v>3.9288357269150538</v>
      </c>
      <c r="AV6">
        <v>3.1061387427802032</v>
      </c>
      <c r="AW6">
        <v>5.5256309031851032</v>
      </c>
      <c r="AX6">
        <v>6.1315786400273282</v>
      </c>
      <c r="AY6">
        <v>6.5758160798598198</v>
      </c>
      <c r="AZ6">
        <v>6.5986252711511213</v>
      </c>
      <c r="BA6">
        <v>4.3290923245111799</v>
      </c>
      <c r="BB6">
        <v>0.66037125395273222</v>
      </c>
      <c r="BC6">
        <v>5.1572366434851773</v>
      </c>
      <c r="BD6">
        <v>3.701852913816353</v>
      </c>
      <c r="BE6">
        <v>0.88167442210280456</v>
      </c>
      <c r="BF6">
        <v>4.2166074989314239</v>
      </c>
      <c r="BG6">
        <v>4.0075769485308399</v>
      </c>
      <c r="BH6">
        <v>2.9650623272812595</v>
      </c>
      <c r="BI6">
        <v>2.219014607870335</v>
      </c>
      <c r="BJ6">
        <v>2.5719414797201949</v>
      </c>
      <c r="BK6">
        <v>2.491354696140661</v>
      </c>
      <c r="BL6">
        <v>2.0406169656141344</v>
      </c>
      <c r="BM6">
        <v>-2.7990380750967176</v>
      </c>
      <c r="BN6">
        <v>4.3004408275945991</v>
      </c>
      <c r="BO6">
        <v>3.4351377702611217</v>
      </c>
    </row>
    <row r="7" spans="1:67">
      <c r="A7" t="s">
        <v>788</v>
      </c>
      <c r="B7" t="s">
        <v>789</v>
      </c>
      <c r="C7" t="s">
        <v>784</v>
      </c>
      <c r="D7" t="s">
        <v>785</v>
      </c>
      <c r="AV7">
        <v>8.8322778126356951</v>
      </c>
      <c r="AW7">
        <v>1.414117980589765</v>
      </c>
      <c r="AX7">
        <v>11.22971482364288</v>
      </c>
      <c r="AY7">
        <v>5.3574032512636336</v>
      </c>
      <c r="AZ7">
        <v>13.82631954797624</v>
      </c>
      <c r="BA7">
        <v>3.9249838216157684</v>
      </c>
      <c r="BB7">
        <v>21.390528393106692</v>
      </c>
      <c r="BC7">
        <v>14.362441469268219</v>
      </c>
      <c r="BD7">
        <v>0.4263547845293516</v>
      </c>
      <c r="BE7">
        <v>12.752287088716514</v>
      </c>
      <c r="BF7">
        <v>5.6007446580817373</v>
      </c>
      <c r="BG7">
        <v>2.7245433639488681</v>
      </c>
      <c r="BH7">
        <v>1.4513146600976228</v>
      </c>
      <c r="BI7">
        <v>2.260314201304567</v>
      </c>
      <c r="BJ7">
        <v>2.6470032019574035</v>
      </c>
      <c r="BK7">
        <v>1.1892281283803641</v>
      </c>
      <c r="BL7">
        <v>3.9116034194229172</v>
      </c>
      <c r="BM7">
        <v>-2.3511006734460977</v>
      </c>
      <c r="BN7">
        <v>-20.738839367634327</v>
      </c>
    </row>
    <row r="8" spans="1:67">
      <c r="A8" t="s">
        <v>790</v>
      </c>
      <c r="B8" t="s">
        <v>791</v>
      </c>
      <c r="C8" t="s">
        <v>784</v>
      </c>
      <c r="D8" t="s">
        <v>785</v>
      </c>
      <c r="F8">
        <v>1.8577268060010965</v>
      </c>
      <c r="G8">
        <v>3.7729426343339867</v>
      </c>
      <c r="H8">
        <v>7.277246308494469</v>
      </c>
      <c r="I8">
        <v>5.4129497437608052</v>
      </c>
      <c r="J8">
        <v>4.0847492998084931</v>
      </c>
      <c r="K8">
        <v>-1.7763545747843068</v>
      </c>
      <c r="L8">
        <v>-9.5495496580185772</v>
      </c>
      <c r="M8">
        <v>1.4589122974934696</v>
      </c>
      <c r="N8">
        <v>15.536589059678249</v>
      </c>
      <c r="O8">
        <v>17.909176908221511</v>
      </c>
      <c r="P8">
        <v>10.802696815021861</v>
      </c>
      <c r="Q8">
        <v>3.1605225170812616</v>
      </c>
      <c r="R8">
        <v>4.2225347005184801</v>
      </c>
      <c r="S8">
        <v>10.24236603486959</v>
      </c>
      <c r="T8">
        <v>-2.1774013340648395</v>
      </c>
      <c r="U8">
        <v>8.5523960150049447</v>
      </c>
      <c r="V8">
        <v>4.7419183448775613</v>
      </c>
      <c r="W8">
        <v>-2.1892497538134279</v>
      </c>
      <c r="X8">
        <v>5.212655678450659</v>
      </c>
      <c r="Y8">
        <v>2.0479255367513929</v>
      </c>
      <c r="Z8">
        <v>-6.9711483506315659</v>
      </c>
      <c r="AA8">
        <v>-3.3753833969758062</v>
      </c>
      <c r="AB8">
        <v>-6.5610735723502529</v>
      </c>
      <c r="AC8">
        <v>0.56406758722138761</v>
      </c>
      <c r="AD8">
        <v>5.5542842825546472</v>
      </c>
      <c r="AE8">
        <v>1.4047123560307284</v>
      </c>
      <c r="AF8">
        <v>1.457124465777099</v>
      </c>
      <c r="AG8">
        <v>4.8680296046769627</v>
      </c>
      <c r="AH8">
        <v>2.2759535188978646</v>
      </c>
      <c r="AI8">
        <v>6.576215199182073</v>
      </c>
      <c r="AJ8">
        <v>1.1097756469551427</v>
      </c>
      <c r="AK8">
        <v>2.6899389328548722</v>
      </c>
      <c r="AL8">
        <v>-1.2061161257789621</v>
      </c>
      <c r="AM8">
        <v>-0.27145426191442823</v>
      </c>
      <c r="AN8">
        <v>1.9315976147269822</v>
      </c>
      <c r="AO8">
        <v>4.6397637452636502</v>
      </c>
      <c r="AP8">
        <v>4.2581507973817594</v>
      </c>
      <c r="AQ8">
        <v>3.4817410978764514</v>
      </c>
      <c r="AR8">
        <v>1.4202240036216267</v>
      </c>
      <c r="AS8">
        <v>3.7314488021737588</v>
      </c>
      <c r="AT8">
        <v>5.2035182128174426</v>
      </c>
      <c r="AU8">
        <v>9.9182808920134562</v>
      </c>
      <c r="AV8">
        <v>5.5355745597618551</v>
      </c>
      <c r="AW8">
        <v>7.9965537471715891</v>
      </c>
      <c r="AX8">
        <v>5.8249413367240379</v>
      </c>
      <c r="AY8">
        <v>5.3745642552601538</v>
      </c>
      <c r="AZ8">
        <v>5.524314019782949</v>
      </c>
      <c r="BA8">
        <v>6.2795917283318801</v>
      </c>
      <c r="BB8">
        <v>6.2841207516329973</v>
      </c>
      <c r="BC8">
        <v>6.9692825986081601</v>
      </c>
      <c r="BD8">
        <v>4.848813838681366</v>
      </c>
      <c r="BE8">
        <v>5.1364685950453719</v>
      </c>
      <c r="BF8">
        <v>6.1070127728643655</v>
      </c>
      <c r="BG8">
        <v>5.9262655711625314</v>
      </c>
      <c r="BH8">
        <v>2.8135434117816089</v>
      </c>
      <c r="BI8">
        <v>0.14209182932785325</v>
      </c>
      <c r="BJ8">
        <v>2.2862695356292306</v>
      </c>
      <c r="BK8">
        <v>2.8388288024230093</v>
      </c>
      <c r="BL8">
        <v>3.2009186668498444</v>
      </c>
      <c r="BM8">
        <v>-0.93816171487776501</v>
      </c>
      <c r="BN8">
        <v>3.9763174652598536</v>
      </c>
      <c r="BO8">
        <v>3.7663538925026643</v>
      </c>
    </row>
    <row r="9" spans="1:67">
      <c r="A9" t="s">
        <v>792</v>
      </c>
      <c r="B9" t="s">
        <v>793</v>
      </c>
      <c r="C9" t="s">
        <v>784</v>
      </c>
      <c r="D9" t="s">
        <v>785</v>
      </c>
      <c r="Z9">
        <v>-4.4000012186504449</v>
      </c>
      <c r="AA9">
        <v>0</v>
      </c>
      <c r="AB9">
        <v>4.2000014285374476</v>
      </c>
      <c r="AC9">
        <v>6.0000021650906064</v>
      </c>
      <c r="AD9">
        <v>3.499999490086239</v>
      </c>
      <c r="AE9">
        <v>2.9000017424685893</v>
      </c>
      <c r="AF9">
        <v>4.0827486351071798</v>
      </c>
      <c r="AG9">
        <v>6.1288904776508843</v>
      </c>
      <c r="AH9">
        <v>4.162146183746529E-2</v>
      </c>
      <c r="AI9">
        <v>-3.4500986850025299</v>
      </c>
      <c r="AJ9">
        <v>0.99135930204474221</v>
      </c>
      <c r="AK9">
        <v>-5.8382807331314126</v>
      </c>
      <c r="AL9">
        <v>-23.983417442057799</v>
      </c>
      <c r="AM9">
        <v>1.3393634364799141</v>
      </c>
      <c r="AN9">
        <v>15.000000028863369</v>
      </c>
      <c r="AO9">
        <v>13.544369755102565</v>
      </c>
      <c r="AP9">
        <v>7.2742773546037256</v>
      </c>
      <c r="AQ9">
        <v>4.6911464509355199</v>
      </c>
      <c r="AR9">
        <v>2.1814897184045776</v>
      </c>
      <c r="AS9">
        <v>3.0546242343078518</v>
      </c>
      <c r="AT9">
        <v>4.2059985561950981</v>
      </c>
      <c r="AU9">
        <v>13.66568876085617</v>
      </c>
      <c r="AV9">
        <v>2.9900000000000091</v>
      </c>
      <c r="AW9">
        <v>10.950000005946478</v>
      </c>
      <c r="AX9">
        <v>15.029999990551318</v>
      </c>
      <c r="AY9">
        <v>11.549999997879027</v>
      </c>
      <c r="AZ9">
        <v>14.0100000086059</v>
      </c>
      <c r="BA9">
        <v>11.169999994214635</v>
      </c>
      <c r="BB9">
        <v>0.8600000021527876</v>
      </c>
      <c r="BC9">
        <v>4.3983759381076339</v>
      </c>
      <c r="BD9">
        <v>3.472053147981029</v>
      </c>
      <c r="BE9">
        <v>8.5421070758414146</v>
      </c>
      <c r="BF9">
        <v>4.9546130311273799</v>
      </c>
      <c r="BG9">
        <v>4.8225592696215642</v>
      </c>
      <c r="BH9">
        <v>0.94357156132500108</v>
      </c>
      <c r="BI9">
        <v>-2.5801112218828024</v>
      </c>
      <c r="BJ9">
        <v>-0.14714982544920474</v>
      </c>
      <c r="BK9">
        <v>-1.3163616889689536</v>
      </c>
      <c r="BL9">
        <v>-0.70227295761601738</v>
      </c>
      <c r="BM9">
        <v>-5.6382147171493386</v>
      </c>
      <c r="BN9">
        <v>1.1992105214515334</v>
      </c>
      <c r="BO9">
        <v>3.0454030095492755</v>
      </c>
    </row>
    <row r="10" spans="1:67">
      <c r="A10" t="s">
        <v>794</v>
      </c>
      <c r="B10" t="s">
        <v>795</v>
      </c>
      <c r="C10" t="s">
        <v>784</v>
      </c>
      <c r="D10" t="s">
        <v>785</v>
      </c>
      <c r="Z10">
        <v>5.7456352922812215</v>
      </c>
      <c r="AA10">
        <v>2.9485968011894812</v>
      </c>
      <c r="AB10">
        <v>1.1049382619504371</v>
      </c>
      <c r="AC10">
        <v>-1.251596644058111</v>
      </c>
      <c r="AD10">
        <v>1.7806439592490335</v>
      </c>
      <c r="AE10">
        <v>5.6372431785211177</v>
      </c>
      <c r="AF10">
        <v>-0.78784265492724614</v>
      </c>
      <c r="AG10">
        <v>-1.4200396556639134</v>
      </c>
      <c r="AH10">
        <v>9.8365489718722756</v>
      </c>
      <c r="AI10">
        <v>-9.5756401699341467</v>
      </c>
      <c r="AJ10">
        <v>-28.002141655909867</v>
      </c>
      <c r="AK10">
        <v>-7.1871109150003747</v>
      </c>
      <c r="AL10">
        <v>9.5594116849315043</v>
      </c>
      <c r="AM10">
        <v>8.3028665969967079</v>
      </c>
      <c r="AN10">
        <v>13.322333321683971</v>
      </c>
      <c r="AO10">
        <v>9.0999994364636052</v>
      </c>
      <c r="AP10">
        <v>-10.919984078139109</v>
      </c>
      <c r="AQ10">
        <v>8.8294237583980646</v>
      </c>
      <c r="AR10">
        <v>12.890803640776326</v>
      </c>
      <c r="AS10">
        <v>6.9462165924425392</v>
      </c>
      <c r="AT10">
        <v>8.2933126312102274</v>
      </c>
      <c r="AU10">
        <v>4.5365241603567483</v>
      </c>
      <c r="AV10">
        <v>5.5286374649178782</v>
      </c>
      <c r="AW10">
        <v>5.5146679109791421</v>
      </c>
      <c r="AX10">
        <v>5.5264242469546474</v>
      </c>
      <c r="AY10">
        <v>5.9026590359192426</v>
      </c>
      <c r="AZ10">
        <v>5.9832595185556698</v>
      </c>
      <c r="BA10">
        <v>7.5000414302015059</v>
      </c>
      <c r="BB10">
        <v>3.3542893498746054</v>
      </c>
      <c r="BC10">
        <v>3.7069381525531924</v>
      </c>
      <c r="BD10">
        <v>2.5454061445010439</v>
      </c>
      <c r="BE10">
        <v>1.4172427999077968</v>
      </c>
      <c r="BF10">
        <v>1.0020175407110798</v>
      </c>
      <c r="BG10">
        <v>1.774448852603939</v>
      </c>
      <c r="BH10">
        <v>2.2187263751780364</v>
      </c>
      <c r="BI10">
        <v>3.3149806838413696</v>
      </c>
      <c r="BJ10">
        <v>3.8025987201905309</v>
      </c>
      <c r="BK10">
        <v>4.0193456169557606</v>
      </c>
      <c r="BL10">
        <v>2.08771199649604</v>
      </c>
      <c r="BM10">
        <v>-3.3020820386254144</v>
      </c>
      <c r="BN10">
        <v>8.9085278183118248</v>
      </c>
      <c r="BO10">
        <v>4.856401652273064</v>
      </c>
    </row>
    <row r="11" spans="1:67">
      <c r="A11" t="s">
        <v>796</v>
      </c>
      <c r="B11" t="s">
        <v>797</v>
      </c>
      <c r="C11" t="s">
        <v>784</v>
      </c>
      <c r="D11" t="s">
        <v>785</v>
      </c>
      <c r="P11">
        <v>4.6494653611383114</v>
      </c>
      <c r="Q11">
        <v>8.1497434878097295</v>
      </c>
      <c r="R11">
        <v>7.7884672033222273</v>
      </c>
      <c r="S11">
        <v>5.6187897289271973</v>
      </c>
      <c r="T11">
        <v>0.54220565931233011</v>
      </c>
      <c r="U11">
        <v>3.3037870460169074</v>
      </c>
      <c r="V11">
        <v>2.8385755682350577</v>
      </c>
      <c r="W11">
        <v>1.46300017891366</v>
      </c>
      <c r="X11">
        <v>4.1557195208753228E-2</v>
      </c>
      <c r="Y11">
        <v>2.2087276112749237</v>
      </c>
      <c r="Z11">
        <v>-0.13247451085108253</v>
      </c>
      <c r="AA11">
        <v>1.2464611107341881</v>
      </c>
      <c r="AB11">
        <v>1.770118316831244</v>
      </c>
      <c r="AC11">
        <v>1.7846866899590594</v>
      </c>
      <c r="AD11">
        <v>2.3214330336748077</v>
      </c>
      <c r="AE11">
        <v>3.2533217762911022</v>
      </c>
      <c r="AF11">
        <v>5.5471221708013303</v>
      </c>
      <c r="AG11">
        <v>5.0943262031371006</v>
      </c>
      <c r="AH11">
        <v>4.8270342503870438</v>
      </c>
      <c r="AI11">
        <v>3.7813875857133326</v>
      </c>
      <c r="AJ11">
        <v>2.5460035237586283</v>
      </c>
      <c r="AK11">
        <v>0.92921404012595588</v>
      </c>
      <c r="AL11">
        <v>-1.0314843899989512</v>
      </c>
      <c r="AM11">
        <v>2.3831822482117957</v>
      </c>
      <c r="AN11">
        <v>2.757501613262491</v>
      </c>
      <c r="AO11">
        <v>4.6497386675470693</v>
      </c>
      <c r="AP11">
        <v>9.0676720514413489</v>
      </c>
      <c r="AQ11">
        <v>3.1947933928923646</v>
      </c>
      <c r="AR11">
        <v>4.0990789217792951</v>
      </c>
      <c r="AS11">
        <v>3.5283623612238841</v>
      </c>
      <c r="AT11">
        <v>8.1193577216994868</v>
      </c>
      <c r="AU11">
        <v>4.5463622136465318</v>
      </c>
      <c r="AV11">
        <v>8.6942037161246759</v>
      </c>
      <c r="AW11">
        <v>8.1356763383735142</v>
      </c>
      <c r="AX11">
        <v>5.3977959850042225</v>
      </c>
      <c r="AY11">
        <v>4.8086886991692097</v>
      </c>
      <c r="AZ11">
        <v>1.5531881410322228</v>
      </c>
      <c r="BA11">
        <v>-5.5591863685058058</v>
      </c>
      <c r="BB11">
        <v>-5.3028465434829144</v>
      </c>
      <c r="BC11">
        <v>-1.974957999653455</v>
      </c>
      <c r="BD11">
        <v>-8.0697534113909342E-3</v>
      </c>
      <c r="BE11">
        <v>-4.9744437185350279</v>
      </c>
      <c r="BF11">
        <v>-3.5475965154934386</v>
      </c>
      <c r="BG11">
        <v>2.5044655211451783</v>
      </c>
      <c r="BH11">
        <v>1.4341403952271605</v>
      </c>
      <c r="BI11">
        <v>3.7096780697898595</v>
      </c>
      <c r="BJ11">
        <v>0.346071889630295</v>
      </c>
      <c r="BK11">
        <v>1.588765490463544</v>
      </c>
      <c r="BL11">
        <v>2.0155476384830848</v>
      </c>
      <c r="BM11">
        <v>-11.18393993553839</v>
      </c>
      <c r="BN11">
        <v>8.2871997810848939</v>
      </c>
      <c r="BO11">
        <v>8.8095793484177136</v>
      </c>
    </row>
    <row r="12" spans="1:67">
      <c r="A12" t="s">
        <v>798</v>
      </c>
      <c r="B12" t="s">
        <v>799</v>
      </c>
      <c r="C12" t="s">
        <v>784</v>
      </c>
      <c r="D12" t="s">
        <v>785</v>
      </c>
      <c r="U12">
        <v>15.741100251715778</v>
      </c>
      <c r="V12">
        <v>8.1734299159269739</v>
      </c>
      <c r="W12">
        <v>-0.59820887535518352</v>
      </c>
      <c r="X12">
        <v>11.041836427984748</v>
      </c>
      <c r="Y12">
        <v>9.1244684738851021</v>
      </c>
      <c r="Z12">
        <v>3.3812903178725122</v>
      </c>
      <c r="AA12">
        <v>-8.2738736506933037</v>
      </c>
      <c r="AB12">
        <v>-6.1994610351230648</v>
      </c>
      <c r="AC12">
        <v>1.3433659968465861</v>
      </c>
      <c r="AD12">
        <v>-2.0230680978028914</v>
      </c>
      <c r="AE12">
        <v>4.3674712572078818</v>
      </c>
      <c r="AF12">
        <v>-6.5281955617379595E-2</v>
      </c>
      <c r="AG12">
        <v>5.7734551037040376</v>
      </c>
      <c r="AH12">
        <v>2.2400292157365129</v>
      </c>
      <c r="AI12">
        <v>12.085507144110224</v>
      </c>
      <c r="AJ12">
        <v>2.4266282203650178</v>
      </c>
      <c r="AK12">
        <v>5.1418881504239948</v>
      </c>
      <c r="AL12">
        <v>3.1306021503317396</v>
      </c>
      <c r="AM12">
        <v>3.3354543566195929</v>
      </c>
      <c r="AN12">
        <v>3.0258629098550927</v>
      </c>
      <c r="AO12">
        <v>4.7417395477853574</v>
      </c>
      <c r="AP12">
        <v>4.73550682613606</v>
      </c>
      <c r="AQ12">
        <v>5.1010426522458658</v>
      </c>
      <c r="AR12">
        <v>1.8596517713371554</v>
      </c>
      <c r="AS12">
        <v>6.5876712442166365</v>
      </c>
      <c r="AT12">
        <v>1.7431163977418578</v>
      </c>
      <c r="AU12">
        <v>0.7229645594678118</v>
      </c>
      <c r="AV12">
        <v>4.9153264436053092</v>
      </c>
      <c r="AW12">
        <v>8.8339239528621931</v>
      </c>
      <c r="AX12">
        <v>5.5019309043443911</v>
      </c>
      <c r="AY12">
        <v>6.1216618447550957</v>
      </c>
      <c r="AZ12">
        <v>4.5510049035333964</v>
      </c>
      <c r="BA12">
        <v>5.5360452662106496</v>
      </c>
      <c r="BB12">
        <v>0.36001556421427949</v>
      </c>
      <c r="BC12">
        <v>4.7137327109819722</v>
      </c>
      <c r="BD12">
        <v>3.4321154131059046</v>
      </c>
      <c r="BE12">
        <v>4.7299449780090868</v>
      </c>
      <c r="BF12">
        <v>2.6188095467042558</v>
      </c>
      <c r="BG12">
        <v>2.4332444227817263</v>
      </c>
      <c r="BH12">
        <v>3.4438132362665073</v>
      </c>
      <c r="BI12">
        <v>3.6860910285114699</v>
      </c>
      <c r="BJ12">
        <v>1.2394474482047428</v>
      </c>
      <c r="BK12">
        <v>2.4382254086085453</v>
      </c>
      <c r="BL12">
        <v>1.3597764625594948</v>
      </c>
      <c r="BM12">
        <v>-5.0482850791348852</v>
      </c>
      <c r="BN12">
        <v>3.7326455660312945</v>
      </c>
      <c r="BO12">
        <v>6.0338334174390411</v>
      </c>
    </row>
    <row r="13" spans="1:67">
      <c r="A13" t="s">
        <v>800</v>
      </c>
      <c r="B13" t="s">
        <v>801</v>
      </c>
      <c r="C13" t="s">
        <v>784</v>
      </c>
      <c r="D13" t="s">
        <v>785</v>
      </c>
      <c r="U13">
        <v>16.526856506014425</v>
      </c>
      <c r="V13">
        <v>21.439330170199369</v>
      </c>
      <c r="W13">
        <v>-1.5896033199162645</v>
      </c>
      <c r="X13">
        <v>20.923573077015533</v>
      </c>
      <c r="Y13">
        <v>23.874774910497848</v>
      </c>
      <c r="Z13">
        <v>4.6591766740650797</v>
      </c>
      <c r="AA13">
        <v>-6.7193161857077541</v>
      </c>
      <c r="AB13">
        <v>-4.7458206999658472</v>
      </c>
      <c r="AC13">
        <v>4.0169512795940534</v>
      </c>
      <c r="AD13">
        <v>-3.5944765173683209</v>
      </c>
      <c r="AE13">
        <v>-14.958136564532694</v>
      </c>
      <c r="AF13">
        <v>3.3819817090086275</v>
      </c>
      <c r="AG13">
        <v>-2.6189077038325905</v>
      </c>
      <c r="AH13">
        <v>12.337891282259903</v>
      </c>
      <c r="AI13">
        <v>18.327985533640614</v>
      </c>
      <c r="AJ13">
        <v>0.86008194577817676</v>
      </c>
      <c r="AK13">
        <v>3.3449448618411566</v>
      </c>
      <c r="AL13">
        <v>1.2611909514973689</v>
      </c>
      <c r="AM13">
        <v>6.8961485505265614</v>
      </c>
      <c r="AN13">
        <v>6.6878864636294395</v>
      </c>
      <c r="AO13">
        <v>5.79840406132152</v>
      </c>
      <c r="AP13">
        <v>8.1903986407704963</v>
      </c>
      <c r="AQ13">
        <v>0.29199434868543506</v>
      </c>
      <c r="AR13">
        <v>2.9022136446459967</v>
      </c>
      <c r="AS13">
        <v>10.852704212598539</v>
      </c>
      <c r="AT13">
        <v>1.3990850303263471</v>
      </c>
      <c r="AU13">
        <v>2.4334568103615766</v>
      </c>
      <c r="AV13">
        <v>8.8005408148643625</v>
      </c>
      <c r="AW13">
        <v>9.5664366371616154</v>
      </c>
      <c r="AX13">
        <v>4.8551411963090061</v>
      </c>
      <c r="AY13">
        <v>9.8373197734851203</v>
      </c>
      <c r="AZ13">
        <v>3.1843901736718436</v>
      </c>
      <c r="BA13">
        <v>3.191836276103956</v>
      </c>
      <c r="BB13">
        <v>-5.2429219066753632</v>
      </c>
      <c r="BC13">
        <v>1.6028500483122485</v>
      </c>
      <c r="BD13">
        <v>6.2161218133718705</v>
      </c>
      <c r="BE13">
        <v>1.8244807887018766</v>
      </c>
      <c r="BF13">
        <v>5.0555596542598806</v>
      </c>
      <c r="BG13">
        <v>4.1656918425617846</v>
      </c>
      <c r="BH13">
        <v>6.7867728794521582</v>
      </c>
      <c r="BI13">
        <v>5.5614907549679913</v>
      </c>
      <c r="BJ13">
        <v>0.7350687131656457</v>
      </c>
      <c r="BK13">
        <v>1.3139138814111817</v>
      </c>
      <c r="BL13">
        <v>1.1083481389309924</v>
      </c>
      <c r="BM13">
        <v>-4.9570524365273911</v>
      </c>
      <c r="BN13">
        <v>4.3547552992130534</v>
      </c>
      <c r="BO13">
        <v>7.8504181249296749</v>
      </c>
    </row>
    <row r="14" spans="1:67">
      <c r="A14" t="s">
        <v>802</v>
      </c>
      <c r="B14" t="s">
        <v>803</v>
      </c>
      <c r="C14" t="s">
        <v>784</v>
      </c>
      <c r="D14" t="s">
        <v>785</v>
      </c>
      <c r="F14">
        <v>5.42784287621933</v>
      </c>
      <c r="G14">
        <v>-0.85202152190333891</v>
      </c>
      <c r="H14">
        <v>-5.3081968253912635</v>
      </c>
      <c r="I14">
        <v>10.130297661543068</v>
      </c>
      <c r="J14">
        <v>10.569433337639396</v>
      </c>
      <c r="K14">
        <v>-0.65972617062982408</v>
      </c>
      <c r="L14">
        <v>3.1919966233917734</v>
      </c>
      <c r="M14">
        <v>4.822500779324244</v>
      </c>
      <c r="N14">
        <v>9.6795260107832632</v>
      </c>
      <c r="O14">
        <v>3.0456433191711483</v>
      </c>
      <c r="P14">
        <v>5.6581310818492483</v>
      </c>
      <c r="Q14">
        <v>1.6284165182593853</v>
      </c>
      <c r="R14">
        <v>2.8117540384903492</v>
      </c>
      <c r="S14">
        <v>5.5338043957736005</v>
      </c>
      <c r="T14">
        <v>-2.8412103711090708E-2</v>
      </c>
      <c r="U14">
        <v>-2.0182515168339421</v>
      </c>
      <c r="V14">
        <v>6.9341477565334202</v>
      </c>
      <c r="W14">
        <v>-4.5061248020135878</v>
      </c>
      <c r="X14">
        <v>10.22276346386812</v>
      </c>
      <c r="Y14">
        <v>1.5187839499017883</v>
      </c>
      <c r="Z14">
        <v>-5.1897891413559307</v>
      </c>
      <c r="AA14">
        <v>-0.73565915910361923</v>
      </c>
      <c r="AB14">
        <v>4.3490932792675636</v>
      </c>
      <c r="AC14">
        <v>1.5707387018202326</v>
      </c>
      <c r="AD14">
        <v>-5.1890243534390379</v>
      </c>
      <c r="AE14">
        <v>6.1533770627569311</v>
      </c>
      <c r="AF14">
        <v>2.7048688277055817</v>
      </c>
      <c r="AG14">
        <v>-1.0899333413379111</v>
      </c>
      <c r="AH14">
        <v>-7.1569496559795311</v>
      </c>
      <c r="AI14">
        <v>-2.4672137781047212</v>
      </c>
      <c r="AJ14">
        <v>9.1331105673896076</v>
      </c>
      <c r="AK14">
        <v>7.9372915564307647</v>
      </c>
      <c r="AL14">
        <v>8.2069790722122775</v>
      </c>
      <c r="AM14">
        <v>5.8362007036852646</v>
      </c>
      <c r="AN14">
        <v>-2.8452096105707909</v>
      </c>
      <c r="AO14">
        <v>5.5266898271523388</v>
      </c>
      <c r="AP14">
        <v>8.1110467707457019</v>
      </c>
      <c r="AQ14">
        <v>3.8501788515622763</v>
      </c>
      <c r="AR14">
        <v>-3.3854570406326872</v>
      </c>
      <c r="AS14">
        <v>-0.78899893905690988</v>
      </c>
      <c r="AT14">
        <v>-4.4088396825855654</v>
      </c>
      <c r="AU14">
        <v>-10.894484828590279</v>
      </c>
      <c r="AV14">
        <v>8.8370407957692407</v>
      </c>
      <c r="AW14">
        <v>9.0295733006815198</v>
      </c>
      <c r="AX14">
        <v>8.8516599201343666</v>
      </c>
      <c r="AY14">
        <v>8.0471515004302745</v>
      </c>
      <c r="AZ14">
        <v>9.0076508750475739</v>
      </c>
      <c r="BA14">
        <v>4.057233103464057</v>
      </c>
      <c r="BB14">
        <v>-5.9185250763494679</v>
      </c>
      <c r="BC14">
        <v>10.125398156100232</v>
      </c>
      <c r="BD14">
        <v>6.003951692805785</v>
      </c>
      <c r="BE14">
        <v>-1.0264204544320989</v>
      </c>
      <c r="BF14">
        <v>2.4053237807943617</v>
      </c>
      <c r="BG14">
        <v>-2.5126153208139357</v>
      </c>
      <c r="BH14">
        <v>2.7311598282894352</v>
      </c>
      <c r="BI14">
        <v>-2.0803278437781074</v>
      </c>
      <c r="BJ14">
        <v>2.8185029777591808</v>
      </c>
      <c r="BK14">
        <v>-2.6173964628203805</v>
      </c>
      <c r="BL14">
        <v>-2.000861002857846</v>
      </c>
      <c r="BM14">
        <v>-9.9004848136464005</v>
      </c>
      <c r="BN14">
        <v>10.71800993370951</v>
      </c>
      <c r="BO14">
        <v>4.9563699600823554</v>
      </c>
    </row>
    <row r="15" spans="1:67">
      <c r="A15" t="s">
        <v>804</v>
      </c>
      <c r="B15" t="s">
        <v>805</v>
      </c>
      <c r="C15" t="s">
        <v>784</v>
      </c>
      <c r="D15" t="s">
        <v>785</v>
      </c>
      <c r="AJ15">
        <v>-11.699998482027027</v>
      </c>
      <c r="AK15">
        <v>-41.800002745756203</v>
      </c>
      <c r="AL15">
        <v>-8.7999987932934971</v>
      </c>
      <c r="AM15">
        <v>5.4000027791765604</v>
      </c>
      <c r="AN15">
        <v>6.8999984197365904</v>
      </c>
      <c r="AO15">
        <v>5.8654007494356506</v>
      </c>
      <c r="AP15">
        <v>3.3210797004695252</v>
      </c>
      <c r="AQ15">
        <v>7.299999987709981</v>
      </c>
      <c r="AR15">
        <v>3.3000000005816617</v>
      </c>
      <c r="AS15">
        <v>5.9000000031209225</v>
      </c>
      <c r="AT15">
        <v>9.5999999992759655</v>
      </c>
      <c r="AU15">
        <v>13.199999997935578</v>
      </c>
      <c r="AV15">
        <v>14.000000001550148</v>
      </c>
      <c r="AW15">
        <v>10.499999998820186</v>
      </c>
      <c r="AX15">
        <v>13.899999999113263</v>
      </c>
      <c r="AY15">
        <v>13.199999999466144</v>
      </c>
      <c r="AZ15">
        <v>13.700000001546698</v>
      </c>
      <c r="BA15">
        <v>6.9000000004295856</v>
      </c>
      <c r="BB15">
        <v>-14.100000000699779</v>
      </c>
      <c r="BC15">
        <v>2.2000000002150983</v>
      </c>
      <c r="BD15">
        <v>4.6999999986741159</v>
      </c>
      <c r="BE15">
        <v>7.200000000964863</v>
      </c>
      <c r="BF15">
        <v>3.3</v>
      </c>
      <c r="BG15">
        <v>3.6000000005899295</v>
      </c>
      <c r="BH15">
        <v>3.1999999989662484</v>
      </c>
      <c r="BI15">
        <v>0.19999999982599093</v>
      </c>
      <c r="BJ15">
        <v>7.500000001641439</v>
      </c>
      <c r="BK15">
        <v>5.1999999996532438</v>
      </c>
      <c r="BL15">
        <v>7.5999999985391753</v>
      </c>
      <c r="BM15">
        <v>-7.1999999992063124</v>
      </c>
      <c r="BN15">
        <v>5.8000000000000114</v>
      </c>
      <c r="BO15">
        <v>12.6</v>
      </c>
    </row>
    <row r="16" spans="1:67">
      <c r="A16" t="s">
        <v>806</v>
      </c>
      <c r="B16" t="s">
        <v>807</v>
      </c>
      <c r="C16" t="s">
        <v>784</v>
      </c>
      <c r="D16" t="s">
        <v>785</v>
      </c>
      <c r="AV16">
        <v>0.96551724137931672</v>
      </c>
      <c r="AW16">
        <v>0.40983606557377072</v>
      </c>
      <c r="AX16">
        <v>-0.40816326530612912</v>
      </c>
      <c r="AY16">
        <v>-4.0983606557377072</v>
      </c>
      <c r="AZ16">
        <v>1.8518518518518619</v>
      </c>
      <c r="BA16">
        <v>-2.6573426573426531</v>
      </c>
      <c r="BB16">
        <v>-4.1666666666666572</v>
      </c>
      <c r="BC16">
        <v>0.29985007496252081</v>
      </c>
      <c r="BD16">
        <v>0</v>
      </c>
      <c r="BE16">
        <v>-4.3348281016442485</v>
      </c>
      <c r="BF16">
        <v>-2.5</v>
      </c>
      <c r="BG16">
        <v>1.762820512820511</v>
      </c>
      <c r="BH16">
        <v>3.1496062992125928</v>
      </c>
      <c r="BI16">
        <v>-1.6793893129770936</v>
      </c>
      <c r="BJ16">
        <v>-6.9875776397515494</v>
      </c>
      <c r="BK16">
        <v>2.6711185308847973</v>
      </c>
      <c r="BL16">
        <v>-0.48780487804877737</v>
      </c>
      <c r="BM16">
        <v>4.4117647058823621</v>
      </c>
      <c r="BN16">
        <v>-0.78247261345852337</v>
      </c>
      <c r="BO16">
        <v>1.7350157728706534</v>
      </c>
    </row>
    <row r="17" spans="1:67">
      <c r="A17" t="s">
        <v>808</v>
      </c>
      <c r="B17" t="s">
        <v>809</v>
      </c>
      <c r="C17" t="s">
        <v>784</v>
      </c>
      <c r="D17" t="s">
        <v>785</v>
      </c>
      <c r="W17">
        <v>4.3836279198865356</v>
      </c>
      <c r="X17">
        <v>8.0797453374700012</v>
      </c>
      <c r="Y17">
        <v>8.1614307966302704</v>
      </c>
      <c r="Z17">
        <v>3.8149161658073751</v>
      </c>
      <c r="AA17">
        <v>-8.4012264193177089E-2</v>
      </c>
      <c r="AB17">
        <v>5.3640162693937725</v>
      </c>
      <c r="AC17">
        <v>10.164995602966158</v>
      </c>
      <c r="AD17">
        <v>7.6437935932857073</v>
      </c>
      <c r="AE17">
        <v>11.493828566886904</v>
      </c>
      <c r="AF17">
        <v>6.6263688451840892</v>
      </c>
      <c r="AG17">
        <v>5.2132728968965409</v>
      </c>
      <c r="AH17">
        <v>5.2522746611495705</v>
      </c>
      <c r="AI17">
        <v>3.0117146835789015</v>
      </c>
      <c r="AJ17">
        <v>2.1765786026594469</v>
      </c>
      <c r="AK17">
        <v>1.1584751914205356</v>
      </c>
      <c r="AL17">
        <v>5.2798787086169199</v>
      </c>
      <c r="AM17">
        <v>6.6767071032427481</v>
      </c>
      <c r="AN17">
        <v>-4.3595873823928883</v>
      </c>
      <c r="AO17">
        <v>6.6044597208230016</v>
      </c>
      <c r="AP17">
        <v>5.4716084820798159</v>
      </c>
      <c r="AQ17">
        <v>4.7311250916374377</v>
      </c>
      <c r="AR17">
        <v>3.7076179103931821</v>
      </c>
      <c r="AS17">
        <v>6.2034312536117113</v>
      </c>
      <c r="AT17">
        <v>-4.5480034725828773</v>
      </c>
      <c r="AU17">
        <v>1.0274419697644817</v>
      </c>
      <c r="AV17">
        <v>6.0765436884838095</v>
      </c>
      <c r="AW17">
        <v>5.7670286118037666</v>
      </c>
      <c r="AX17">
        <v>6.4738313164198473</v>
      </c>
      <c r="AY17">
        <v>12.708148532773663</v>
      </c>
      <c r="AZ17">
        <v>9.3153831633975699</v>
      </c>
      <c r="BA17">
        <v>-1.4340651943484772E-2</v>
      </c>
      <c r="BB17">
        <v>-11.962697248834303</v>
      </c>
      <c r="BC17">
        <v>-7.8405947441217734</v>
      </c>
      <c r="BD17">
        <v>-1.9586126283434311</v>
      </c>
      <c r="BE17">
        <v>1.4392685129439968</v>
      </c>
      <c r="BF17">
        <v>0.48593208079084604</v>
      </c>
      <c r="BG17">
        <v>2.2114525132299576</v>
      </c>
      <c r="BH17">
        <v>1.4451552987307679</v>
      </c>
      <c r="BI17">
        <v>4.0997655387776462</v>
      </c>
      <c r="BJ17">
        <v>2.4633333659041625</v>
      </c>
      <c r="BK17">
        <v>6.9531860921973703</v>
      </c>
      <c r="BL17">
        <v>3.1004451498284737</v>
      </c>
      <c r="BM17">
        <v>-18.880399202632532</v>
      </c>
      <c r="BN17">
        <v>8.1917184618173025</v>
      </c>
      <c r="BO17">
        <v>9.5163956435946062</v>
      </c>
    </row>
    <row r="18" spans="1:67">
      <c r="A18" t="s">
        <v>810</v>
      </c>
      <c r="B18" t="s">
        <v>811</v>
      </c>
      <c r="C18" t="s">
        <v>784</v>
      </c>
      <c r="D18" t="s">
        <v>785</v>
      </c>
      <c r="F18">
        <v>2.4826183481116146</v>
      </c>
      <c r="G18">
        <v>1.2942580473599179</v>
      </c>
      <c r="H18">
        <v>6.2163641777091811</v>
      </c>
      <c r="I18">
        <v>6.9804382554179227</v>
      </c>
      <c r="J18">
        <v>5.9803509997774285</v>
      </c>
      <c r="K18">
        <v>2.3788066089776976</v>
      </c>
      <c r="L18">
        <v>6.3050664367714688</v>
      </c>
      <c r="M18">
        <v>5.093750610673581</v>
      </c>
      <c r="N18">
        <v>7.0451867226668128</v>
      </c>
      <c r="O18">
        <v>7.1757992652231621</v>
      </c>
      <c r="P18">
        <v>4.000640199677477</v>
      </c>
      <c r="Q18">
        <v>3.9102510407271467</v>
      </c>
      <c r="R18">
        <v>2.6193440016797354</v>
      </c>
      <c r="S18">
        <v>4.1073242380176538</v>
      </c>
      <c r="T18">
        <v>1.3364428089865896</v>
      </c>
      <c r="U18">
        <v>2.5888028648263912</v>
      </c>
      <c r="V18">
        <v>3.5951502016248185</v>
      </c>
      <c r="W18">
        <v>0.893380867343609</v>
      </c>
      <c r="X18">
        <v>4.0504248093162545</v>
      </c>
      <c r="Y18">
        <v>3.035697656371255</v>
      </c>
      <c r="Z18">
        <v>3.3398658450062442</v>
      </c>
      <c r="AA18">
        <v>3.3252141667067434</v>
      </c>
      <c r="AB18">
        <v>-2.2244700166327362</v>
      </c>
      <c r="AC18">
        <v>4.5917108538037041</v>
      </c>
      <c r="AD18">
        <v>5.2785284570678215</v>
      </c>
      <c r="AE18">
        <v>3.9657320913094622</v>
      </c>
      <c r="AF18">
        <v>2.5625513594176113</v>
      </c>
      <c r="AG18">
        <v>5.7539077860794237</v>
      </c>
      <c r="AH18">
        <v>3.878649706071343</v>
      </c>
      <c r="AI18">
        <v>3.5791230499730347</v>
      </c>
      <c r="AJ18">
        <v>-0.38187477185790897</v>
      </c>
      <c r="AK18">
        <v>0.42767843785165383</v>
      </c>
      <c r="AL18">
        <v>4.0451570489881306</v>
      </c>
      <c r="AM18">
        <v>3.9797061752988157</v>
      </c>
      <c r="AN18">
        <v>3.8831648037613462</v>
      </c>
      <c r="AO18">
        <v>3.8639343396262689</v>
      </c>
      <c r="AP18">
        <v>3.9131894320303644</v>
      </c>
      <c r="AQ18">
        <v>4.6632516299443409</v>
      </c>
      <c r="AR18">
        <v>5.0276474694678939</v>
      </c>
      <c r="AS18">
        <v>3.9215178293130322</v>
      </c>
      <c r="AT18">
        <v>2.0251273154189278</v>
      </c>
      <c r="AU18">
        <v>3.9796337557974795</v>
      </c>
      <c r="AV18">
        <v>3.0906871816563495</v>
      </c>
      <c r="AW18">
        <v>4.2243217271693112</v>
      </c>
      <c r="AX18">
        <v>3.1541392567278876</v>
      </c>
      <c r="AY18">
        <v>2.7552982427312571</v>
      </c>
      <c r="AZ18">
        <v>3.7733926810883673</v>
      </c>
      <c r="BA18">
        <v>3.5862279798605528</v>
      </c>
      <c r="BB18">
        <v>1.8925736085825946</v>
      </c>
      <c r="BC18">
        <v>2.2265380779750359</v>
      </c>
      <c r="BD18">
        <v>2.4089717800568593</v>
      </c>
      <c r="BE18">
        <v>3.9184096253833616</v>
      </c>
      <c r="BF18">
        <v>2.6061984470602653</v>
      </c>
      <c r="BG18">
        <v>2.6074010318852743</v>
      </c>
      <c r="BH18">
        <v>2.2018101533680721</v>
      </c>
      <c r="BI18">
        <v>2.7791426253722165</v>
      </c>
      <c r="BJ18">
        <v>2.318709386988175</v>
      </c>
      <c r="BK18">
        <v>2.9063631150986708</v>
      </c>
      <c r="BL18">
        <v>2.1811091061096022</v>
      </c>
      <c r="BM18">
        <v>-0.3346863594501599</v>
      </c>
      <c r="BN18">
        <v>2.1118308892515074</v>
      </c>
      <c r="BO18">
        <v>4.2689463934986662</v>
      </c>
    </row>
    <row r="19" spans="1:67">
      <c r="A19" t="s">
        <v>812</v>
      </c>
      <c r="B19" t="s">
        <v>813</v>
      </c>
      <c r="C19" t="s">
        <v>784</v>
      </c>
      <c r="D19" t="s">
        <v>785</v>
      </c>
      <c r="F19">
        <v>5.5379793168452807</v>
      </c>
      <c r="G19">
        <v>2.6486751129526169</v>
      </c>
      <c r="H19">
        <v>4.1382675815703607</v>
      </c>
      <c r="I19">
        <v>6.1243537376284252</v>
      </c>
      <c r="J19">
        <v>3.480174917995555</v>
      </c>
      <c r="K19">
        <v>5.642861410932781</v>
      </c>
      <c r="L19">
        <v>3.0080477977548981</v>
      </c>
      <c r="M19">
        <v>4.4723127824606479</v>
      </c>
      <c r="N19">
        <v>6.2758671660702419</v>
      </c>
      <c r="O19">
        <v>6.3211426323496909</v>
      </c>
      <c r="P19">
        <v>5.1149685849956228</v>
      </c>
      <c r="Q19">
        <v>6.2078610864110999</v>
      </c>
      <c r="R19">
        <v>4.8904353171528783</v>
      </c>
      <c r="S19">
        <v>3.9421380710437575</v>
      </c>
      <c r="T19">
        <v>-0.36373543405353814</v>
      </c>
      <c r="U19">
        <v>4.5784454333211499</v>
      </c>
      <c r="V19">
        <v>5.0799805942591547</v>
      </c>
      <c r="W19">
        <v>-0.21065369516267651</v>
      </c>
      <c r="X19">
        <v>5.3566999002511579</v>
      </c>
      <c r="Y19">
        <v>1.7314855954991657</v>
      </c>
      <c r="Z19">
        <v>-0.14429469056661048</v>
      </c>
      <c r="AA19">
        <v>2.0112547075435145</v>
      </c>
      <c r="AB19">
        <v>2.9730880303121268</v>
      </c>
      <c r="AC19">
        <v>5.1274762966841081E-2</v>
      </c>
      <c r="AD19">
        <v>2.4986784974842919</v>
      </c>
      <c r="AE19">
        <v>2.3013932119723961</v>
      </c>
      <c r="AF19">
        <v>1.3571680641544077</v>
      </c>
      <c r="AG19">
        <v>3.2958798984301438</v>
      </c>
      <c r="AH19">
        <v>3.887074817820519</v>
      </c>
      <c r="AI19">
        <v>4.345641399478211</v>
      </c>
      <c r="AJ19">
        <v>3.4416277766945882</v>
      </c>
      <c r="AK19">
        <v>2.0935246170918305</v>
      </c>
      <c r="AL19">
        <v>0.52680920370649176</v>
      </c>
      <c r="AM19">
        <v>2.4021190737988576</v>
      </c>
      <c r="AN19">
        <v>2.6679835308954836</v>
      </c>
      <c r="AO19">
        <v>2.3495338516972737</v>
      </c>
      <c r="AP19">
        <v>2.0935993895239164</v>
      </c>
      <c r="AQ19">
        <v>3.5814258146044722</v>
      </c>
      <c r="AR19">
        <v>3.5563312466417187</v>
      </c>
      <c r="AS19">
        <v>3.3757221470847725</v>
      </c>
      <c r="AT19">
        <v>1.2671681892299205</v>
      </c>
      <c r="AU19">
        <v>1.651553921866693</v>
      </c>
      <c r="AV19">
        <v>0.94147092072533667</v>
      </c>
      <c r="AW19">
        <v>2.7351202224102309</v>
      </c>
      <c r="AX19">
        <v>2.2440653246387825</v>
      </c>
      <c r="AY19">
        <v>3.4540418361412151</v>
      </c>
      <c r="AZ19">
        <v>3.727415300935192</v>
      </c>
      <c r="BA19">
        <v>1.4604236757385962</v>
      </c>
      <c r="BB19">
        <v>-3.7645781779167748</v>
      </c>
      <c r="BC19">
        <v>1.837093676800535</v>
      </c>
      <c r="BD19">
        <v>2.92279728368581</v>
      </c>
      <c r="BE19">
        <v>0.68044557681672302</v>
      </c>
      <c r="BF19">
        <v>2.5504712197218282E-2</v>
      </c>
      <c r="BG19">
        <v>0.66127284885260451</v>
      </c>
      <c r="BH19">
        <v>1.0145015859051085</v>
      </c>
      <c r="BI19">
        <v>1.9894371623046254</v>
      </c>
      <c r="BJ19">
        <v>2.2585724325067105</v>
      </c>
      <c r="BK19">
        <v>2.4253853608806111</v>
      </c>
      <c r="BL19">
        <v>1.4505291839319199</v>
      </c>
      <c r="BM19">
        <v>-6.6329914366255309</v>
      </c>
      <c r="BN19">
        <v>4.2378667325325665</v>
      </c>
      <c r="BO19">
        <v>4.8064302017845932</v>
      </c>
    </row>
    <row r="20" spans="1:67">
      <c r="A20" t="s">
        <v>814</v>
      </c>
      <c r="B20" t="s">
        <v>815</v>
      </c>
      <c r="C20" t="s">
        <v>784</v>
      </c>
      <c r="D20" t="s">
        <v>785</v>
      </c>
      <c r="AJ20">
        <v>-0.70000017569957151</v>
      </c>
      <c r="AK20">
        <v>-22.60000032644443</v>
      </c>
      <c r="AL20">
        <v>-23.099998718838734</v>
      </c>
      <c r="AM20">
        <v>-19.700001239923836</v>
      </c>
      <c r="AN20">
        <v>-11.799999107681813</v>
      </c>
      <c r="AO20">
        <v>1.299999404638271</v>
      </c>
      <c r="AP20">
        <v>5.8000001479578316</v>
      </c>
      <c r="AQ20">
        <v>9.9999996115369072</v>
      </c>
      <c r="AR20">
        <v>7.4000012995856395</v>
      </c>
      <c r="AS20">
        <v>11.099999143434601</v>
      </c>
      <c r="AT20">
        <v>9.8999998653364258</v>
      </c>
      <c r="AU20">
        <v>9.438916269065615</v>
      </c>
      <c r="AV20">
        <v>10.208299400477642</v>
      </c>
      <c r="AW20">
        <v>9.2538017972890714</v>
      </c>
      <c r="AX20">
        <v>27.961538108213134</v>
      </c>
      <c r="AY20">
        <v>34.5</v>
      </c>
      <c r="AZ20">
        <v>24.99999985156829</v>
      </c>
      <c r="BA20">
        <v>10.758978060468365</v>
      </c>
      <c r="BB20">
        <v>9.2963637444709093</v>
      </c>
      <c r="BC20">
        <v>5.0489445134957407</v>
      </c>
      <c r="BD20">
        <v>0.10000013782457984</v>
      </c>
      <c r="BE20">
        <v>2.1652394748415986</v>
      </c>
      <c r="BF20">
        <v>5.8098008426820797</v>
      </c>
      <c r="BG20">
        <v>2.7505068153551804</v>
      </c>
      <c r="BH20">
        <v>1.0939759162746867</v>
      </c>
      <c r="BI20">
        <v>-3.0999998803726641</v>
      </c>
      <c r="BJ20">
        <v>0.19999993895865487</v>
      </c>
      <c r="BK20">
        <v>1.4999999999999858</v>
      </c>
      <c r="BL20">
        <v>2.500000067437341</v>
      </c>
      <c r="BM20">
        <v>-4.3000001023073651</v>
      </c>
      <c r="BN20">
        <v>5.6164510285302782</v>
      </c>
      <c r="BO20">
        <v>4.6165229634412839</v>
      </c>
    </row>
    <row r="21" spans="1:67">
      <c r="A21" t="s">
        <v>816</v>
      </c>
      <c r="B21" t="s">
        <v>817</v>
      </c>
      <c r="C21" t="s">
        <v>784</v>
      </c>
      <c r="D21" t="s">
        <v>785</v>
      </c>
      <c r="F21">
        <v>-13.746135053983892</v>
      </c>
      <c r="G21">
        <v>9.0631579338656252</v>
      </c>
      <c r="H21">
        <v>4.1354074218557457</v>
      </c>
      <c r="I21">
        <v>6.2730379008706194</v>
      </c>
      <c r="J21">
        <v>3.967225609280149</v>
      </c>
      <c r="K21">
        <v>4.6129928955768378</v>
      </c>
      <c r="L21">
        <v>13.821518602087423</v>
      </c>
      <c r="M21">
        <v>-0.29788367347217104</v>
      </c>
      <c r="N21">
        <v>-1.4595411424562172</v>
      </c>
      <c r="O21">
        <v>21.325670732865447</v>
      </c>
      <c r="P21">
        <v>2.7468287121383099</v>
      </c>
      <c r="Q21">
        <v>-6.4039649240787497</v>
      </c>
      <c r="R21">
        <v>6.8890507189633325</v>
      </c>
      <c r="S21">
        <v>-0.72683956274633488</v>
      </c>
      <c r="T21">
        <v>0.69792023621519661</v>
      </c>
      <c r="U21">
        <v>7.9426609761413971</v>
      </c>
      <c r="V21">
        <v>11.469453043912537</v>
      </c>
      <c r="W21">
        <v>-0.94057598840964829</v>
      </c>
      <c r="X21">
        <v>1.6649549502354262</v>
      </c>
      <c r="Y21">
        <v>0.99105572510647733</v>
      </c>
      <c r="Z21">
        <v>12.163275569828286</v>
      </c>
      <c r="AA21">
        <v>-1.053599820210124</v>
      </c>
      <c r="AB21">
        <v>3.7153269913911231</v>
      </c>
      <c r="AC21">
        <v>0.15554400495973653</v>
      </c>
      <c r="AD21">
        <v>11.783180178665404</v>
      </c>
      <c r="AE21">
        <v>3.2501804597024062</v>
      </c>
      <c r="AF21">
        <v>5.5030961195224393</v>
      </c>
      <c r="AG21">
        <v>5.031024367491213</v>
      </c>
      <c r="AH21">
        <v>1.3495022365178357</v>
      </c>
      <c r="AI21">
        <v>3.4998221361125275</v>
      </c>
      <c r="AJ21">
        <v>4.9968364479212539</v>
      </c>
      <c r="AK21">
        <v>1.0099983709962856</v>
      </c>
      <c r="AL21">
        <v>-6.2400000013904702</v>
      </c>
      <c r="AM21">
        <v>-3.829999996198282</v>
      </c>
      <c r="AN21">
        <v>-7.9200000037477167</v>
      </c>
      <c r="AO21">
        <v>-7.9999999979409324</v>
      </c>
      <c r="AP21">
        <v>-1.5899999968582819</v>
      </c>
      <c r="AQ21">
        <v>4.7499999950961325</v>
      </c>
      <c r="AR21">
        <v>-1.0099999964981521</v>
      </c>
      <c r="AS21">
        <v>-0.8568640584241507</v>
      </c>
      <c r="AT21">
        <v>2.0558071083524254</v>
      </c>
      <c r="AU21">
        <v>4.4465194122479659</v>
      </c>
      <c r="AV21">
        <v>-1.2237279602344415</v>
      </c>
      <c r="AW21">
        <v>4.8336577680945254</v>
      </c>
      <c r="AX21">
        <v>0.90000000090191179</v>
      </c>
      <c r="AY21">
        <v>5.4138071449144434</v>
      </c>
      <c r="AZ21">
        <v>3.4519485638194283</v>
      </c>
      <c r="BA21">
        <v>4.8617163671264052</v>
      </c>
      <c r="BB21">
        <v>3.8127453663341839</v>
      </c>
      <c r="BC21">
        <v>5.124159994398056</v>
      </c>
      <c r="BD21">
        <v>4.0325999884441472</v>
      </c>
      <c r="BE21">
        <v>4.4467063311149531</v>
      </c>
      <c r="BF21">
        <v>4.9241898983468388</v>
      </c>
      <c r="BG21">
        <v>4.2406502140265729</v>
      </c>
      <c r="BH21">
        <v>-3.9000000804854977</v>
      </c>
      <c r="BI21">
        <v>-0.60000090911638893</v>
      </c>
      <c r="BJ21">
        <v>0.50000126242927934</v>
      </c>
      <c r="BK21">
        <v>1.6099354212771431</v>
      </c>
      <c r="BL21">
        <v>1.8125653232666821</v>
      </c>
      <c r="BM21">
        <v>0.32715689126359848</v>
      </c>
      <c r="BN21">
        <v>3.0999999999997527</v>
      </c>
      <c r="BO21">
        <v>1.848999440172534</v>
      </c>
    </row>
    <row r="22" spans="1:67">
      <c r="A22" t="s">
        <v>818</v>
      </c>
      <c r="B22" t="s">
        <v>819</v>
      </c>
      <c r="C22" t="s">
        <v>784</v>
      </c>
      <c r="D22" t="s">
        <v>785</v>
      </c>
      <c r="F22">
        <v>4.9784230631919684</v>
      </c>
      <c r="G22">
        <v>5.2120035092552826</v>
      </c>
      <c r="H22">
        <v>4.3515842816705117</v>
      </c>
      <c r="I22">
        <v>6.9566847334410227</v>
      </c>
      <c r="J22">
        <v>3.5606598398603637</v>
      </c>
      <c r="K22">
        <v>3.1558949817340789</v>
      </c>
      <c r="L22">
        <v>3.8681469469011205</v>
      </c>
      <c r="M22">
        <v>4.1941296249473226</v>
      </c>
      <c r="N22">
        <v>6.629799795294673</v>
      </c>
      <c r="O22">
        <v>5.582858284314753</v>
      </c>
      <c r="P22">
        <v>3.9858271104884722</v>
      </c>
      <c r="Q22">
        <v>5.2956047428402542</v>
      </c>
      <c r="R22">
        <v>6.3817019575000131</v>
      </c>
      <c r="S22">
        <v>4.5652579728430567</v>
      </c>
      <c r="T22">
        <v>-1.9659415658482118</v>
      </c>
      <c r="U22">
        <v>5.6527459331799292</v>
      </c>
      <c r="V22">
        <v>0.62615485402130844</v>
      </c>
      <c r="W22">
        <v>2.8418964908226911</v>
      </c>
      <c r="X22">
        <v>2.3410729555681371</v>
      </c>
      <c r="Y22">
        <v>4.4440538763934825</v>
      </c>
      <c r="Z22">
        <v>-0.27928327936213293</v>
      </c>
      <c r="AA22">
        <v>0.59498677200100758</v>
      </c>
      <c r="AB22">
        <v>0.31184270258519575</v>
      </c>
      <c r="AC22">
        <v>2.4663828052800056</v>
      </c>
      <c r="AD22">
        <v>1.6517928990972024</v>
      </c>
      <c r="AE22">
        <v>1.8227618310179423</v>
      </c>
      <c r="AF22">
        <v>2.3066595658391691</v>
      </c>
      <c r="AG22">
        <v>4.7232088803285706</v>
      </c>
      <c r="AH22">
        <v>3.4691669836833796</v>
      </c>
      <c r="AI22">
        <v>3.1374023155744482</v>
      </c>
      <c r="AJ22">
        <v>1.833074277287011</v>
      </c>
      <c r="AK22">
        <v>1.5306549438590196</v>
      </c>
      <c r="AL22">
        <v>-0.96187330977660679</v>
      </c>
      <c r="AM22">
        <v>3.2269715248893789</v>
      </c>
      <c r="AN22">
        <v>2.3847572796124865</v>
      </c>
      <c r="AO22">
        <v>1.3214509304132491</v>
      </c>
      <c r="AP22">
        <v>3.7936576295018796</v>
      </c>
      <c r="AQ22">
        <v>1.9618082719842675</v>
      </c>
      <c r="AR22">
        <v>3.5427434636306572</v>
      </c>
      <c r="AS22">
        <v>3.7166793842087458</v>
      </c>
      <c r="AT22">
        <v>1.0996188877784903</v>
      </c>
      <c r="AU22">
        <v>1.7068845845335403</v>
      </c>
      <c r="AV22">
        <v>1.0379825490290528</v>
      </c>
      <c r="AW22">
        <v>3.5712043433582039</v>
      </c>
      <c r="AX22">
        <v>2.3217370538192625</v>
      </c>
      <c r="AY22">
        <v>2.5523499436635149</v>
      </c>
      <c r="AZ22">
        <v>3.6768811359497278</v>
      </c>
      <c r="BA22">
        <v>0.44692873527590393</v>
      </c>
      <c r="BB22">
        <v>-2.0207430616940769</v>
      </c>
      <c r="BC22">
        <v>2.8642927076415532</v>
      </c>
      <c r="BD22">
        <v>1.694513898613323</v>
      </c>
      <c r="BE22">
        <v>0.73921728305867873</v>
      </c>
      <c r="BF22">
        <v>0.45924219290770907</v>
      </c>
      <c r="BG22">
        <v>1.5785331432261387</v>
      </c>
      <c r="BH22">
        <v>2.0414590091996132</v>
      </c>
      <c r="BI22">
        <v>1.2666864090209486</v>
      </c>
      <c r="BJ22">
        <v>1.6195802783878008</v>
      </c>
      <c r="BK22">
        <v>1.7929451930207563</v>
      </c>
      <c r="BL22">
        <v>2.2408353310313913</v>
      </c>
      <c r="BM22">
        <v>-5.2607791859751956</v>
      </c>
      <c r="BN22">
        <v>6.8509956228120785</v>
      </c>
      <c r="BO22">
        <v>3.0099025592771369</v>
      </c>
    </row>
    <row r="23" spans="1:67">
      <c r="A23" t="s">
        <v>820</v>
      </c>
      <c r="B23" t="s">
        <v>821</v>
      </c>
      <c r="C23" t="s">
        <v>784</v>
      </c>
      <c r="D23" t="s">
        <v>785</v>
      </c>
      <c r="F23">
        <v>3.141280456412133</v>
      </c>
      <c r="G23">
        <v>-3.4264098209858673</v>
      </c>
      <c r="H23">
        <v>4.7300279709187976</v>
      </c>
      <c r="I23">
        <v>6.6507591282480831</v>
      </c>
      <c r="J23">
        <v>5.2938628287117382</v>
      </c>
      <c r="K23">
        <v>3.57586273248711</v>
      </c>
      <c r="L23">
        <v>1.0783986666456542</v>
      </c>
      <c r="M23">
        <v>3.8423356345949315</v>
      </c>
      <c r="N23">
        <v>2.877497974037027</v>
      </c>
      <c r="O23">
        <v>2.0977575805105886</v>
      </c>
      <c r="P23">
        <v>-1.4968418264466976</v>
      </c>
      <c r="Q23">
        <v>6.426367544830498</v>
      </c>
      <c r="R23">
        <v>3.7061653190710473</v>
      </c>
      <c r="S23">
        <v>3.3393121574295463</v>
      </c>
      <c r="T23">
        <v>-4.8953454465865462</v>
      </c>
      <c r="U23">
        <v>0.88435633284564119</v>
      </c>
      <c r="V23">
        <v>4.9836637299504076</v>
      </c>
      <c r="W23">
        <v>1.2550780277507272</v>
      </c>
      <c r="X23">
        <v>6.5357474150234083</v>
      </c>
      <c r="Y23">
        <v>6.7817638678522769</v>
      </c>
      <c r="Z23">
        <v>9.9542311670811898</v>
      </c>
      <c r="AA23">
        <v>2.2350663440239344</v>
      </c>
      <c r="AB23">
        <v>-4.3478227351667442</v>
      </c>
      <c r="AC23">
        <v>7.9298395655172698</v>
      </c>
      <c r="AD23">
        <v>7.530324838062711</v>
      </c>
      <c r="AE23">
        <v>2.1711415979259527</v>
      </c>
      <c r="AF23">
        <v>-1.5000029523144178</v>
      </c>
      <c r="AG23">
        <v>3.405245295832259</v>
      </c>
      <c r="AH23">
        <v>-2.8541604962233578</v>
      </c>
      <c r="AI23">
        <v>8.9761343599897998</v>
      </c>
      <c r="AJ23">
        <v>4.2257994207166831</v>
      </c>
      <c r="AK23">
        <v>2.9577108272039538</v>
      </c>
      <c r="AL23">
        <v>5.8361720850138283</v>
      </c>
      <c r="AM23">
        <v>2.0204004476166233</v>
      </c>
      <c r="AN23">
        <v>6.0451986504156423</v>
      </c>
      <c r="AO23">
        <v>4.324284031317859</v>
      </c>
      <c r="AP23">
        <v>5.734688375213068</v>
      </c>
      <c r="AQ23">
        <v>3.9610121383264527</v>
      </c>
      <c r="AR23">
        <v>5.3414493720441669</v>
      </c>
      <c r="AS23">
        <v>5.8577142054326856</v>
      </c>
      <c r="AT23">
        <v>5.3331357060393714</v>
      </c>
      <c r="AU23">
        <v>4.6430308707448233</v>
      </c>
      <c r="AV23">
        <v>3.4435767759165827</v>
      </c>
      <c r="AW23">
        <v>4.4296845538508194</v>
      </c>
      <c r="AX23">
        <v>1.7131645636118407</v>
      </c>
      <c r="AY23">
        <v>3.9437388281579757</v>
      </c>
      <c r="AZ23">
        <v>5.986349321776089</v>
      </c>
      <c r="BA23">
        <v>4.8965770842964673</v>
      </c>
      <c r="BB23">
        <v>2.3192921391283789</v>
      </c>
      <c r="BC23">
        <v>2.1140647264839174</v>
      </c>
      <c r="BD23">
        <v>2.9637529190420082</v>
      </c>
      <c r="BE23">
        <v>4.8112233156879967</v>
      </c>
      <c r="BF23">
        <v>7.1914337214494566</v>
      </c>
      <c r="BG23">
        <v>6.3576790979193163</v>
      </c>
      <c r="BH23">
        <v>1.7781510603027755</v>
      </c>
      <c r="BI23">
        <v>3.3396734262969261</v>
      </c>
      <c r="BJ23">
        <v>5.6715619515044438</v>
      </c>
      <c r="BK23">
        <v>6.6972536218088834</v>
      </c>
      <c r="BL23">
        <v>6.8656866284833455</v>
      </c>
      <c r="BM23">
        <v>3.8487924003013347</v>
      </c>
      <c r="BN23">
        <v>7.1554516457573953</v>
      </c>
      <c r="BO23">
        <v>6.2532449140134645</v>
      </c>
    </row>
    <row r="24" spans="1:67">
      <c r="A24" t="s">
        <v>822</v>
      </c>
      <c r="B24" t="s">
        <v>823</v>
      </c>
      <c r="C24" t="s">
        <v>784</v>
      </c>
      <c r="D24" t="s">
        <v>785</v>
      </c>
      <c r="F24">
        <v>4.0439279775492452</v>
      </c>
      <c r="G24">
        <v>6.128798780245063</v>
      </c>
      <c r="H24">
        <v>-1.2680163726918892</v>
      </c>
      <c r="I24">
        <v>2.2828192237583664</v>
      </c>
      <c r="J24">
        <v>3.7645453806312901</v>
      </c>
      <c r="K24">
        <v>0.53761308366071603</v>
      </c>
      <c r="L24">
        <v>8.8233149748536732</v>
      </c>
      <c r="M24">
        <v>3.0707739378289745</v>
      </c>
      <c r="N24">
        <v>2.0260810405269751</v>
      </c>
      <c r="O24">
        <v>0.11701961067960553</v>
      </c>
      <c r="P24">
        <v>1.4133398815318969</v>
      </c>
      <c r="Q24">
        <v>2.3114987415627724</v>
      </c>
      <c r="R24">
        <v>0.44932740448064123</v>
      </c>
      <c r="S24">
        <v>8.2864264803637724</v>
      </c>
      <c r="T24">
        <v>2.998382897073455</v>
      </c>
      <c r="U24">
        <v>8.5348949606810294</v>
      </c>
      <c r="V24">
        <v>0.37035356366278904</v>
      </c>
      <c r="W24">
        <v>4.6078249996568417</v>
      </c>
      <c r="X24">
        <v>3.6646215120786536</v>
      </c>
      <c r="Y24">
        <v>0.79687887857922135</v>
      </c>
      <c r="Z24">
        <v>4.2553033945558241</v>
      </c>
      <c r="AA24">
        <v>9.5621966218117933</v>
      </c>
      <c r="AB24">
        <v>0.34598474020850745</v>
      </c>
      <c r="AC24">
        <v>-1.7786966877293651</v>
      </c>
      <c r="AD24">
        <v>8.5173649911232161</v>
      </c>
      <c r="AE24">
        <v>7.9553627287483977</v>
      </c>
      <c r="AF24">
        <v>-0.23633678914332279</v>
      </c>
      <c r="AG24">
        <v>5.7955929645800524</v>
      </c>
      <c r="AH24">
        <v>2.1502672717350606</v>
      </c>
      <c r="AI24">
        <v>-0.60292847758098844</v>
      </c>
      <c r="AJ24">
        <v>9.069984458774357</v>
      </c>
      <c r="AK24">
        <v>0.23271076184595074</v>
      </c>
      <c r="AL24">
        <v>3.4613849394581848</v>
      </c>
      <c r="AM24">
        <v>1.3150072721026476</v>
      </c>
      <c r="AN24">
        <v>5.7163738626962157</v>
      </c>
      <c r="AO24">
        <v>11.014743869558032</v>
      </c>
      <c r="AP24">
        <v>6.3168347348376841</v>
      </c>
      <c r="AQ24">
        <v>7.3077196349689615</v>
      </c>
      <c r="AR24">
        <v>7.3952378011193076</v>
      </c>
      <c r="AS24">
        <v>1.8884738890652528</v>
      </c>
      <c r="AT24">
        <v>6.6134057453967898</v>
      </c>
      <c r="AU24">
        <v>4.3529638298809914</v>
      </c>
      <c r="AV24">
        <v>7.8024938887035944</v>
      </c>
      <c r="AW24">
        <v>4.478452136703865</v>
      </c>
      <c r="AX24">
        <v>8.6618732284122473</v>
      </c>
      <c r="AY24">
        <v>6.2531646881747776</v>
      </c>
      <c r="AZ24">
        <v>4.1113790176151639</v>
      </c>
      <c r="BA24">
        <v>5.7999917410538728</v>
      </c>
      <c r="BB24">
        <v>2.9619508586669241</v>
      </c>
      <c r="BC24">
        <v>8.4462815770762489</v>
      </c>
      <c r="BD24">
        <v>6.6225626130669326</v>
      </c>
      <c r="BE24">
        <v>6.4526723795314638</v>
      </c>
      <c r="BF24">
        <v>5.7925848450986734</v>
      </c>
      <c r="BG24">
        <v>4.3268456145297591</v>
      </c>
      <c r="BH24">
        <v>3.9212287937935031</v>
      </c>
      <c r="BI24">
        <v>5.9579767075402401</v>
      </c>
      <c r="BJ24">
        <v>6.2034894112186834</v>
      </c>
      <c r="BK24">
        <v>6.6045690681234106</v>
      </c>
      <c r="BL24">
        <v>5.4864554268366987</v>
      </c>
      <c r="BM24">
        <v>1.9219906902707748</v>
      </c>
      <c r="BN24">
        <v>6.937860517372016</v>
      </c>
      <c r="BO24">
        <v>1.7804921831274072</v>
      </c>
    </row>
    <row r="25" spans="1:67">
      <c r="A25" t="s">
        <v>824</v>
      </c>
      <c r="B25" t="s">
        <v>825</v>
      </c>
      <c r="C25" t="s">
        <v>784</v>
      </c>
      <c r="D25" t="s">
        <v>785</v>
      </c>
      <c r="F25">
        <v>6.0581608254812807</v>
      </c>
      <c r="G25">
        <v>5.4530309698715485</v>
      </c>
      <c r="H25">
        <v>-0.45589428993874037</v>
      </c>
      <c r="I25">
        <v>10.952788546041958</v>
      </c>
      <c r="J25">
        <v>1.6062582289155074</v>
      </c>
      <c r="K25">
        <v>2.5668120012805673</v>
      </c>
      <c r="L25">
        <v>-1.8758639196475002</v>
      </c>
      <c r="M25">
        <v>9.489454015479339</v>
      </c>
      <c r="N25">
        <v>1.2208579090969351</v>
      </c>
      <c r="O25">
        <v>5.6198522928010135</v>
      </c>
      <c r="P25">
        <v>-5.479483027219473</v>
      </c>
      <c r="Q25">
        <v>-13.973728702043928</v>
      </c>
      <c r="R25">
        <v>3.3256801987840134</v>
      </c>
      <c r="S25">
        <v>9.5919563004182038</v>
      </c>
      <c r="T25">
        <v>-4.0882140918164112</v>
      </c>
      <c r="U25">
        <v>5.6613612011964705</v>
      </c>
      <c r="V25">
        <v>2.6730560500198237</v>
      </c>
      <c r="W25">
        <v>7.0738377326068758</v>
      </c>
      <c r="X25">
        <v>4.8016346005567101</v>
      </c>
      <c r="Y25">
        <v>0.81914186889892449</v>
      </c>
      <c r="Z25">
        <v>7.2339436949073672</v>
      </c>
      <c r="AA25">
        <v>2.1343278357707476</v>
      </c>
      <c r="AB25">
        <v>3.8810463998170803</v>
      </c>
      <c r="AC25">
        <v>4.8033100152543398</v>
      </c>
      <c r="AD25">
        <v>3.342014654154184</v>
      </c>
      <c r="AE25">
        <v>4.1733825590038833</v>
      </c>
      <c r="AF25">
        <v>3.772401852527139</v>
      </c>
      <c r="AG25">
        <v>2.4162568556622972</v>
      </c>
      <c r="AH25">
        <v>2.8365821290792468</v>
      </c>
      <c r="AI25">
        <v>5.6222581616070357</v>
      </c>
      <c r="AJ25">
        <v>3.4852278159765291</v>
      </c>
      <c r="AK25">
        <v>5.4426855496672459</v>
      </c>
      <c r="AL25">
        <v>4.7115617245399903</v>
      </c>
      <c r="AM25">
        <v>3.890126441168178</v>
      </c>
      <c r="AN25">
        <v>5.1212778972433739</v>
      </c>
      <c r="AO25">
        <v>4.5229192168442296</v>
      </c>
      <c r="AP25">
        <v>4.4898964976265034</v>
      </c>
      <c r="AQ25">
        <v>5.1770268731497993</v>
      </c>
      <c r="AR25">
        <v>4.670156368821111</v>
      </c>
      <c r="AS25">
        <v>5.2932947189253241</v>
      </c>
      <c r="AT25">
        <v>5.0772877752672798</v>
      </c>
      <c r="AU25">
        <v>3.8331239399322499</v>
      </c>
      <c r="AV25">
        <v>4.7395673996304453</v>
      </c>
      <c r="AW25">
        <v>5.2395329102985215</v>
      </c>
      <c r="AX25">
        <v>6.5359449387550228</v>
      </c>
      <c r="AY25">
        <v>6.6719049857678812</v>
      </c>
      <c r="AZ25">
        <v>7.0585993544984831</v>
      </c>
      <c r="BA25">
        <v>6.0137897573853536</v>
      </c>
      <c r="BB25">
        <v>5.0451247991933741</v>
      </c>
      <c r="BC25">
        <v>5.571788185331215</v>
      </c>
      <c r="BD25">
        <v>6.4643791249772846</v>
      </c>
      <c r="BE25">
        <v>6.5214587790644316</v>
      </c>
      <c r="BF25">
        <v>6.0136056583434367</v>
      </c>
      <c r="BG25">
        <v>6.061059358849505</v>
      </c>
      <c r="BH25">
        <v>6.552639878161969</v>
      </c>
      <c r="BI25">
        <v>7.113478212700926</v>
      </c>
      <c r="BJ25">
        <v>6.5902548153113969</v>
      </c>
      <c r="BK25">
        <v>7.3194077798160748</v>
      </c>
      <c r="BL25">
        <v>7.8819067286135009</v>
      </c>
      <c r="BM25">
        <v>3.4480256276252703</v>
      </c>
      <c r="BN25">
        <v>6.9386791244244534</v>
      </c>
      <c r="BO25">
        <v>7.0998287757515754</v>
      </c>
    </row>
    <row r="26" spans="1:67">
      <c r="A26" t="s">
        <v>826</v>
      </c>
      <c r="B26" t="s">
        <v>827</v>
      </c>
      <c r="C26" t="s">
        <v>784</v>
      </c>
      <c r="D26" t="s">
        <v>785</v>
      </c>
      <c r="Z26">
        <v>4.9001618599853032</v>
      </c>
      <c r="AA26">
        <v>2.3345655917153465</v>
      </c>
      <c r="AB26">
        <v>3.4303059138709244</v>
      </c>
      <c r="AC26">
        <v>3.3964436219224581</v>
      </c>
      <c r="AD26">
        <v>2.6834407407069421</v>
      </c>
      <c r="AE26">
        <v>4.2076020032624939</v>
      </c>
      <c r="AF26">
        <v>6.0545138387434463</v>
      </c>
      <c r="AG26">
        <v>10.944692064305642</v>
      </c>
      <c r="AH26">
        <v>-3.2898820682497103</v>
      </c>
      <c r="AI26">
        <v>-9.1173770956538505</v>
      </c>
      <c r="AJ26">
        <v>-8.4453551963715512</v>
      </c>
      <c r="AK26">
        <v>-7.2723879664471411</v>
      </c>
      <c r="AL26">
        <v>-1.480214854218147</v>
      </c>
      <c r="AM26">
        <v>1.8180113341543063</v>
      </c>
      <c r="AN26">
        <v>2.8620190717790308</v>
      </c>
      <c r="AO26">
        <v>5.2053928322159067</v>
      </c>
      <c r="AP26">
        <v>-14.115380764208552</v>
      </c>
      <c r="AQ26">
        <v>3.7891213638772285</v>
      </c>
      <c r="AR26">
        <v>-8.3960925698679318</v>
      </c>
      <c r="AS26">
        <v>4.5872268586940805</v>
      </c>
      <c r="AT26">
        <v>3.8237039650849169</v>
      </c>
      <c r="AU26">
        <v>5.8719296097281983</v>
      </c>
      <c r="AV26">
        <v>5.237154252513406</v>
      </c>
      <c r="AW26">
        <v>6.5104256723730032</v>
      </c>
      <c r="AX26">
        <v>7.0563496005182031</v>
      </c>
      <c r="AY26">
        <v>6.8025896022296877</v>
      </c>
      <c r="AZ26">
        <v>6.6543876250146639</v>
      </c>
      <c r="BA26">
        <v>6.1295587623277044</v>
      </c>
      <c r="BB26">
        <v>-3.3471422629830272</v>
      </c>
      <c r="BC26">
        <v>1.5553595130147357</v>
      </c>
      <c r="BD26">
        <v>2.0901756964412073</v>
      </c>
      <c r="BE26">
        <v>0.74881480295732672</v>
      </c>
      <c r="BF26">
        <v>-0.54275131308567381</v>
      </c>
      <c r="BG26">
        <v>0.94944852082181797</v>
      </c>
      <c r="BH26">
        <v>3.3975538759064818</v>
      </c>
      <c r="BI26">
        <v>3.0266283922412356</v>
      </c>
      <c r="BJ26">
        <v>2.7459272587673382</v>
      </c>
      <c r="BK26">
        <v>2.6949065533883498</v>
      </c>
      <c r="BL26">
        <v>4.0351889466249844</v>
      </c>
      <c r="BM26">
        <v>-3.9661561362733408</v>
      </c>
      <c r="BN26">
        <v>7.6617480742932003</v>
      </c>
      <c r="BO26">
        <v>3.9264322212456904</v>
      </c>
    </row>
    <row r="27" spans="1:67">
      <c r="A27" t="s">
        <v>828</v>
      </c>
      <c r="B27" t="s">
        <v>829</v>
      </c>
      <c r="C27" t="s">
        <v>784</v>
      </c>
      <c r="D27" t="s">
        <v>785</v>
      </c>
      <c r="Z27">
        <v>-5.3166973528296495</v>
      </c>
      <c r="AA27">
        <v>-7.5562177121594516</v>
      </c>
      <c r="AB27">
        <v>6.376376799643964</v>
      </c>
      <c r="AC27">
        <v>5.0036460450077556</v>
      </c>
      <c r="AD27">
        <v>-4.7582685380568677</v>
      </c>
      <c r="AE27">
        <v>1.1829939159841985</v>
      </c>
      <c r="AF27">
        <v>10.399009332546811</v>
      </c>
      <c r="AG27">
        <v>6.9999916494533068</v>
      </c>
      <c r="AH27">
        <v>0.36400713816182417</v>
      </c>
      <c r="AI27">
        <v>4.4379971764263928</v>
      </c>
      <c r="AJ27">
        <v>11.229998780012295</v>
      </c>
      <c r="AK27">
        <v>6.6899983666053799</v>
      </c>
      <c r="AL27">
        <v>12.870006669658409</v>
      </c>
      <c r="AM27">
        <v>-0.25000148454287796</v>
      </c>
      <c r="AN27">
        <v>3.9299915453202061</v>
      </c>
      <c r="AO27">
        <v>4.1100061151211378</v>
      </c>
      <c r="AP27">
        <v>3.0929997867320367</v>
      </c>
      <c r="AQ27">
        <v>4.7900027885549861</v>
      </c>
      <c r="AR27">
        <v>4.2999989603775788</v>
      </c>
      <c r="AS27">
        <v>5.3000700560088347</v>
      </c>
      <c r="AT27">
        <v>2.4909481082984684</v>
      </c>
      <c r="AU27">
        <v>3.3485506679411969</v>
      </c>
      <c r="AV27">
        <v>6.2964419786936787</v>
      </c>
      <c r="AW27">
        <v>6.9809605942982529</v>
      </c>
      <c r="AX27">
        <v>6.7689978710748306</v>
      </c>
      <c r="AY27">
        <v>6.4670001219958522</v>
      </c>
      <c r="AZ27">
        <v>8.2939604475968309</v>
      </c>
      <c r="BA27">
        <v>6.2450107749625801</v>
      </c>
      <c r="BB27">
        <v>2.5398859358505206</v>
      </c>
      <c r="BC27">
        <v>4.3342991728313081</v>
      </c>
      <c r="BD27">
        <v>1.9835150115999056</v>
      </c>
      <c r="BE27">
        <v>3.7281084304601677</v>
      </c>
      <c r="BF27">
        <v>5.416839810120706</v>
      </c>
      <c r="BG27">
        <v>4.350390852529685</v>
      </c>
      <c r="BH27">
        <v>2.4853785575880352</v>
      </c>
      <c r="BI27">
        <v>3.5581281189777769</v>
      </c>
      <c r="BJ27">
        <v>4.2909497775633838</v>
      </c>
      <c r="BK27">
        <v>2.1111304730487177</v>
      </c>
      <c r="BL27">
        <v>2.1669646688236952</v>
      </c>
      <c r="BM27">
        <v>-4.6446373587849052</v>
      </c>
      <c r="BN27">
        <v>2.6697087144823115</v>
      </c>
      <c r="BO27">
        <v>4.8608582717299242</v>
      </c>
    </row>
    <row r="28" spans="1:67">
      <c r="A28" t="s">
        <v>830</v>
      </c>
      <c r="B28" t="s">
        <v>831</v>
      </c>
      <c r="C28" t="s">
        <v>784</v>
      </c>
      <c r="D28" t="s">
        <v>785</v>
      </c>
      <c r="F28">
        <v>10.667097425137342</v>
      </c>
      <c r="G28">
        <v>10.45197189454143</v>
      </c>
      <c r="H28">
        <v>10.524055201801559</v>
      </c>
      <c r="I28">
        <v>10.501567200293977</v>
      </c>
      <c r="J28">
        <v>10.425596490423914</v>
      </c>
      <c r="K28">
        <v>9.0719287102973567</v>
      </c>
      <c r="L28">
        <v>9.5981138661486227</v>
      </c>
      <c r="M28">
        <v>8.4217635657494583</v>
      </c>
      <c r="N28">
        <v>8.9816625769401526</v>
      </c>
      <c r="O28">
        <v>-5.6496495194478058</v>
      </c>
      <c r="P28">
        <v>1.6265087401548044</v>
      </c>
      <c r="Q28">
        <v>-3.4973359325786078</v>
      </c>
      <c r="R28">
        <v>7.5675688232702356</v>
      </c>
      <c r="S28">
        <v>-16.754229075146228</v>
      </c>
      <c r="T28">
        <v>-14.803126311448992</v>
      </c>
      <c r="U28">
        <v>5.1851849705108606</v>
      </c>
      <c r="V28">
        <v>9.154929220860609</v>
      </c>
      <c r="W28">
        <v>14.179520138522776</v>
      </c>
      <c r="X28">
        <v>26.139295768689053</v>
      </c>
      <c r="Y28">
        <v>6.4952819210228654</v>
      </c>
      <c r="Z28">
        <v>-9.2264050799564075</v>
      </c>
      <c r="AA28">
        <v>6.6988977570490533</v>
      </c>
      <c r="AB28">
        <v>3.5970518679410759</v>
      </c>
      <c r="AC28">
        <v>14.171148623475077</v>
      </c>
      <c r="AD28">
        <v>4.8291801148681657</v>
      </c>
      <c r="AE28">
        <v>1.797000227449459</v>
      </c>
      <c r="AF28">
        <v>2.9845193440170164</v>
      </c>
      <c r="AG28">
        <v>2.3097076609602567</v>
      </c>
      <c r="AH28">
        <v>6.7273297997879666</v>
      </c>
      <c r="AI28">
        <v>-1.5962490870755346</v>
      </c>
      <c r="AJ28">
        <v>-4.1817850219957649</v>
      </c>
      <c r="AK28">
        <v>-3.8255822970630078</v>
      </c>
      <c r="AL28">
        <v>0.30780659601184368</v>
      </c>
      <c r="AM28">
        <v>3.1489159720018876</v>
      </c>
      <c r="AN28">
        <v>4.3787520348250126</v>
      </c>
      <c r="AO28">
        <v>4.2235303622413909</v>
      </c>
      <c r="AP28">
        <v>1.2877532054979923</v>
      </c>
      <c r="AQ28">
        <v>4.716798554963006</v>
      </c>
      <c r="AR28">
        <v>7.1441039067714058</v>
      </c>
      <c r="AS28">
        <v>4.1484193075426674</v>
      </c>
      <c r="AT28">
        <v>2.6260098268342489</v>
      </c>
      <c r="AU28">
        <v>2.7049562473102924</v>
      </c>
      <c r="AV28">
        <v>-1.2649166761237183</v>
      </c>
      <c r="AW28">
        <v>0.8823737445183184</v>
      </c>
      <c r="AX28">
        <v>3.3960842053601112</v>
      </c>
      <c r="AY28">
        <v>2.5165922171270552</v>
      </c>
      <c r="AZ28">
        <v>1.4460999123575817</v>
      </c>
      <c r="BA28">
        <v>-2.3236480704185141</v>
      </c>
      <c r="BB28">
        <v>-4.1754280564734216</v>
      </c>
      <c r="BC28">
        <v>1.5386624869383496</v>
      </c>
      <c r="BD28">
        <v>0.61317073589064819</v>
      </c>
      <c r="BE28">
        <v>3.0863776614786502</v>
      </c>
      <c r="BF28">
        <v>-2.8625054777870531</v>
      </c>
      <c r="BG28">
        <v>1.8471071918012285</v>
      </c>
      <c r="BH28">
        <v>0.99623070429832694</v>
      </c>
      <c r="BI28">
        <v>-0.76297344488303054</v>
      </c>
      <c r="BJ28">
        <v>2.5241617398120439</v>
      </c>
      <c r="BK28">
        <v>2.9183069265055224</v>
      </c>
      <c r="BL28">
        <v>-0.74366188278433754</v>
      </c>
      <c r="BM28">
        <v>-23.508101437159127</v>
      </c>
      <c r="BN28">
        <v>16.984490475694813</v>
      </c>
      <c r="BO28">
        <v>14.368209846334537</v>
      </c>
    </row>
    <row r="29" spans="1:67">
      <c r="A29" t="s">
        <v>832</v>
      </c>
      <c r="B29" t="s">
        <v>833</v>
      </c>
      <c r="C29" t="s">
        <v>784</v>
      </c>
      <c r="D29" t="s">
        <v>785</v>
      </c>
      <c r="AN29">
        <v>20.799997541861217</v>
      </c>
      <c r="AO29">
        <v>88.957666183279173</v>
      </c>
      <c r="AP29">
        <v>34.389574051687219</v>
      </c>
      <c r="AQ29">
        <v>15.59999668542315</v>
      </c>
      <c r="AR29">
        <v>9.599999716422758</v>
      </c>
      <c r="AS29">
        <v>12.765469457888258</v>
      </c>
      <c r="AT29">
        <v>2.423313171809923</v>
      </c>
      <c r="AU29">
        <v>5.0274442073398262</v>
      </c>
      <c r="AV29">
        <v>3.867138795134295</v>
      </c>
      <c r="AW29">
        <v>6.325266168614661</v>
      </c>
      <c r="AX29">
        <v>3.8971779899219285</v>
      </c>
      <c r="AY29">
        <v>5.4140035707943355</v>
      </c>
      <c r="AZ29">
        <v>5.8571263421709432</v>
      </c>
      <c r="BA29">
        <v>5.4438310345017698</v>
      </c>
      <c r="BB29">
        <v>-3.0044559301334601</v>
      </c>
      <c r="BC29">
        <v>0.8656692602370839</v>
      </c>
      <c r="BD29">
        <v>0.95951124724126657</v>
      </c>
      <c r="BE29">
        <v>-0.82183647421689443</v>
      </c>
      <c r="BF29">
        <v>2.3498566632458022</v>
      </c>
      <c r="BG29">
        <v>1.1538510920040324</v>
      </c>
      <c r="BH29">
        <v>4.3147506111633476</v>
      </c>
      <c r="BI29">
        <v>3.2422552117191401</v>
      </c>
      <c r="BJ29">
        <v>3.2441009588946628</v>
      </c>
      <c r="BK29">
        <v>3.8274992054689676</v>
      </c>
      <c r="BL29">
        <v>2.8873433441487464</v>
      </c>
      <c r="BM29">
        <v>-3.0150951475986147</v>
      </c>
      <c r="BN29">
        <v>7.3916526255594732</v>
      </c>
      <c r="BO29">
        <v>4.1062269398856301</v>
      </c>
    </row>
    <row r="30" spans="1:67">
      <c r="A30" t="s">
        <v>834</v>
      </c>
      <c r="B30" t="s">
        <v>835</v>
      </c>
      <c r="C30" t="s">
        <v>784</v>
      </c>
      <c r="D30" t="s">
        <v>785</v>
      </c>
      <c r="AJ30">
        <v>-1.1999956275332266</v>
      </c>
      <c r="AK30">
        <v>-9.6000012897447249</v>
      </c>
      <c r="AL30">
        <v>-7.6000018991432796</v>
      </c>
      <c r="AM30">
        <v>-11.700003835478697</v>
      </c>
      <c r="AN30">
        <v>-10.400000528496406</v>
      </c>
      <c r="AO30">
        <v>2.8000046276688266</v>
      </c>
      <c r="AP30">
        <v>11.400005458073693</v>
      </c>
      <c r="AQ30">
        <v>8.3999913434050342</v>
      </c>
      <c r="AR30">
        <v>3.3999992414416909</v>
      </c>
      <c r="AS30">
        <v>5.8000033608297343</v>
      </c>
      <c r="AT30">
        <v>4.7253060499807589</v>
      </c>
      <c r="AU30">
        <v>5.0452675054475549</v>
      </c>
      <c r="AV30">
        <v>7.0431925119443122</v>
      </c>
      <c r="AW30">
        <v>11.449743057227039</v>
      </c>
      <c r="AX30">
        <v>9.4000015886402508</v>
      </c>
      <c r="AY30">
        <v>9.9999947213396752</v>
      </c>
      <c r="AZ30">
        <v>8.6000065990178456</v>
      </c>
      <c r="BA30">
        <v>10.199999472722013</v>
      </c>
      <c r="BB30">
        <v>0.19999524938485536</v>
      </c>
      <c r="BC30">
        <v>7.7982668352443625</v>
      </c>
      <c r="BD30">
        <v>5.3787075043723434</v>
      </c>
      <c r="BE30">
        <v>1.6871355343475329</v>
      </c>
      <c r="BF30">
        <v>1.0034707715851994</v>
      </c>
      <c r="BG30">
        <v>1.7262099894002034</v>
      </c>
      <c r="BH30">
        <v>-3.8296630707008461</v>
      </c>
      <c r="BI30">
        <v>-2.5258314089706175</v>
      </c>
      <c r="BJ30">
        <v>2.5316236803652146</v>
      </c>
      <c r="BK30">
        <v>3.1496394990934817</v>
      </c>
      <c r="BL30">
        <v>1.4462066710268147</v>
      </c>
      <c r="BM30">
        <v>-0.67290412526492105</v>
      </c>
      <c r="BN30">
        <v>2.4388660814253456</v>
      </c>
      <c r="BO30">
        <v>-4.6974497069539041</v>
      </c>
    </row>
    <row r="31" spans="1:67">
      <c r="A31" t="s">
        <v>836</v>
      </c>
      <c r="B31" t="s">
        <v>837</v>
      </c>
      <c r="C31" t="s">
        <v>784</v>
      </c>
      <c r="D31" t="s">
        <v>785</v>
      </c>
      <c r="F31">
        <v>4.8922772190268233</v>
      </c>
      <c r="G31">
        <v>4.8926521802838465</v>
      </c>
      <c r="H31">
        <v>4.9564341949163122</v>
      </c>
      <c r="I31">
        <v>4.9998799104131137</v>
      </c>
      <c r="J31">
        <v>4.9305409613183571</v>
      </c>
      <c r="K31">
        <v>4.770845112959492</v>
      </c>
      <c r="L31">
        <v>4.9131231620706046</v>
      </c>
      <c r="M31">
        <v>7.3672254571462474</v>
      </c>
      <c r="N31">
        <v>5.1063747909927457</v>
      </c>
      <c r="O31">
        <v>4.8076933638294008</v>
      </c>
      <c r="P31">
        <v>3.9594410817294516</v>
      </c>
      <c r="Q31">
        <v>10.218303839050691</v>
      </c>
      <c r="R31">
        <v>5.3518941108860787</v>
      </c>
      <c r="S31">
        <v>13.559985171804854</v>
      </c>
      <c r="T31">
        <v>3.5928244424595022</v>
      </c>
      <c r="U31">
        <v>-3.4020943420628669E-2</v>
      </c>
      <c r="V31">
        <v>6.4965942870641982</v>
      </c>
      <c r="W31">
        <v>7.9208071785766805</v>
      </c>
      <c r="X31">
        <v>7.517021513480131</v>
      </c>
      <c r="Y31">
        <v>13.436681763971151</v>
      </c>
      <c r="Z31">
        <v>1.1337708232510835</v>
      </c>
      <c r="AA31">
        <v>-0.10771042864122649</v>
      </c>
      <c r="AB31">
        <v>-2.1431799710687045</v>
      </c>
      <c r="AC31">
        <v>1.9720650258962422</v>
      </c>
      <c r="AD31">
        <v>1.0125139140763508</v>
      </c>
      <c r="AE31">
        <v>4.5394569576216099</v>
      </c>
      <c r="AF31">
        <v>10.735304132731386</v>
      </c>
      <c r="AG31">
        <v>9.7877114427358691</v>
      </c>
      <c r="AH31">
        <v>13.009221129934616</v>
      </c>
      <c r="AI31">
        <v>9.4746520166915786</v>
      </c>
      <c r="AJ31">
        <v>11.778704495633875</v>
      </c>
      <c r="AK31">
        <v>12.736220651386574</v>
      </c>
      <c r="AL31">
        <v>6.1378860075779897</v>
      </c>
      <c r="AM31">
        <v>-1.9986868664105373E-2</v>
      </c>
      <c r="AN31">
        <v>0.73155830615287698</v>
      </c>
      <c r="AO31">
        <v>1.1053063542081958</v>
      </c>
      <c r="AP31">
        <v>4.2346165134572686</v>
      </c>
      <c r="AQ31">
        <v>3.8930216625275165</v>
      </c>
      <c r="AR31">
        <v>9.4231913771065905</v>
      </c>
      <c r="AS31">
        <v>12.240614029064886</v>
      </c>
      <c r="AT31">
        <v>4.993563302304608</v>
      </c>
      <c r="AU31">
        <v>5.3990721050487025</v>
      </c>
      <c r="AV31">
        <v>9.6652253239124093</v>
      </c>
      <c r="AW31">
        <v>4.7806657830040251</v>
      </c>
      <c r="AX31">
        <v>2.2191892711714445</v>
      </c>
      <c r="AY31">
        <v>4.5114554419801038</v>
      </c>
      <c r="AZ31">
        <v>3.2970241226969961</v>
      </c>
      <c r="BA31">
        <v>-1.5385939211035549</v>
      </c>
      <c r="BB31">
        <v>-0.45069225386596656</v>
      </c>
      <c r="BC31">
        <v>1.2399529153747579</v>
      </c>
      <c r="BD31">
        <v>-0.29818152456547864</v>
      </c>
      <c r="BE31">
        <v>3.6615993816965045</v>
      </c>
      <c r="BF31">
        <v>4.4376438367677622</v>
      </c>
      <c r="BG31">
        <v>4.0053183167318593</v>
      </c>
      <c r="BH31">
        <v>3.2254930914356947</v>
      </c>
      <c r="BI31">
        <v>-1.103441457807719E-2</v>
      </c>
      <c r="BJ31">
        <v>-1.813365148355345</v>
      </c>
      <c r="BK31">
        <v>1.0555982306971146</v>
      </c>
      <c r="BL31">
        <v>4.2362345355572302</v>
      </c>
      <c r="BM31">
        <v>-13.731691083140532</v>
      </c>
      <c r="BN31">
        <v>17.862447839374184</v>
      </c>
      <c r="BO31">
        <v>8.734311437820665</v>
      </c>
    </row>
    <row r="32" spans="1:67">
      <c r="A32" t="s">
        <v>838</v>
      </c>
      <c r="B32" t="s">
        <v>839</v>
      </c>
      <c r="C32" t="s">
        <v>784</v>
      </c>
      <c r="D32" t="s">
        <v>785</v>
      </c>
      <c r="F32">
        <v>4.6799999989094516</v>
      </c>
      <c r="G32">
        <v>4.4699999988944796</v>
      </c>
      <c r="H32">
        <v>1.0700000003673154</v>
      </c>
      <c r="I32">
        <v>11.110000000861888</v>
      </c>
      <c r="J32">
        <v>4.7600000003876062</v>
      </c>
      <c r="K32">
        <v>14.36363636449056</v>
      </c>
      <c r="L32">
        <v>13.275039745559951</v>
      </c>
      <c r="M32">
        <v>2.1052631582924022</v>
      </c>
      <c r="N32">
        <v>3.4364261137743028</v>
      </c>
      <c r="O32">
        <v>6.312292360158736</v>
      </c>
      <c r="P32">
        <v>3.4375000006939445</v>
      </c>
      <c r="Q32">
        <v>1.812688822106054</v>
      </c>
      <c r="R32">
        <v>1.4836795255069433</v>
      </c>
      <c r="S32">
        <v>0.87719298262183543</v>
      </c>
      <c r="T32">
        <v>3.7681159396137502</v>
      </c>
      <c r="U32">
        <v>8.9385474879152866</v>
      </c>
      <c r="V32">
        <v>5.8974358958148798</v>
      </c>
      <c r="W32">
        <v>1.4527845039349359</v>
      </c>
      <c r="X32">
        <v>2.147971360823405</v>
      </c>
      <c r="Y32">
        <v>7.943925232727949</v>
      </c>
      <c r="Z32">
        <v>2.3809523814517775</v>
      </c>
      <c r="AA32">
        <v>-5.2854122609629712</v>
      </c>
      <c r="AB32">
        <v>2.0089285718148062</v>
      </c>
      <c r="AC32">
        <v>0.48140043584272973</v>
      </c>
      <c r="AD32">
        <v>-2.0034843190951221</v>
      </c>
      <c r="AE32">
        <v>6.6666666655500961</v>
      </c>
      <c r="AF32">
        <v>3.7500000007570264</v>
      </c>
      <c r="AG32">
        <v>4.0562248986580727</v>
      </c>
      <c r="AH32">
        <v>0.44384407532129444</v>
      </c>
      <c r="AI32">
        <v>1.9212297114449939E-2</v>
      </c>
      <c r="AJ32">
        <v>-3.5343821002787337</v>
      </c>
      <c r="AK32">
        <v>-5.9738214383955324E-2</v>
      </c>
      <c r="AL32">
        <v>3.0085671235790699</v>
      </c>
      <c r="AM32">
        <v>0.59961336669880438</v>
      </c>
      <c r="AN32">
        <v>4.3991483299642624</v>
      </c>
      <c r="AO32">
        <v>2.6004754289844101</v>
      </c>
      <c r="AP32">
        <v>4.6000008426336336</v>
      </c>
      <c r="AQ32">
        <v>3.9000000942303501</v>
      </c>
      <c r="AR32">
        <v>3.3826470197218441</v>
      </c>
      <c r="AS32">
        <v>9.3171564108608322</v>
      </c>
      <c r="AT32">
        <v>7.2224355375260814</v>
      </c>
      <c r="AU32">
        <v>-1.4777905976886672</v>
      </c>
      <c r="AV32">
        <v>3.4107066768753072</v>
      </c>
      <c r="AW32">
        <v>2.3212672232313594</v>
      </c>
      <c r="AX32">
        <v>1.6742061141050755</v>
      </c>
      <c r="AY32">
        <v>5.5438663804406048</v>
      </c>
      <c r="AZ32">
        <v>3.3451397087760739</v>
      </c>
      <c r="BA32">
        <v>-1.8659558263518647</v>
      </c>
      <c r="BB32">
        <v>-5.6266977105160976</v>
      </c>
      <c r="BC32">
        <v>-2.502878289473685</v>
      </c>
      <c r="BD32">
        <v>-3.7427443174070305</v>
      </c>
      <c r="BE32">
        <v>-5.3052991067529689</v>
      </c>
      <c r="BF32">
        <v>-0.27970854542303414</v>
      </c>
      <c r="BG32">
        <v>-3.701067593642577</v>
      </c>
      <c r="BH32">
        <v>0.77552969956897755</v>
      </c>
      <c r="BI32">
        <v>-0.6572063042592049</v>
      </c>
      <c r="BJ32">
        <v>3.611419837061149</v>
      </c>
      <c r="BK32">
        <v>-0.43280130033930675</v>
      </c>
      <c r="BL32">
        <v>0.30626673523393322</v>
      </c>
      <c r="BM32">
        <v>-6.8379551913659355</v>
      </c>
      <c r="BN32">
        <v>3.0138164385781891</v>
      </c>
      <c r="BO32">
        <v>2.9271129490824563</v>
      </c>
    </row>
    <row r="33" spans="1:67">
      <c r="A33" t="s">
        <v>840</v>
      </c>
      <c r="B33" t="s">
        <v>841</v>
      </c>
      <c r="C33" t="s">
        <v>784</v>
      </c>
      <c r="D33" t="s">
        <v>785</v>
      </c>
      <c r="F33">
        <v>2.0892959357046834</v>
      </c>
      <c r="G33">
        <v>5.5789178589795654</v>
      </c>
      <c r="H33">
        <v>6.7976257769727368</v>
      </c>
      <c r="I33">
        <v>3.9565965321577039</v>
      </c>
      <c r="J33">
        <v>4.9134419564283149</v>
      </c>
      <c r="K33">
        <v>7.170589662691512</v>
      </c>
      <c r="L33">
        <v>6.317219517027354</v>
      </c>
      <c r="M33">
        <v>8.529443084480377</v>
      </c>
      <c r="N33">
        <v>4.474097330934228</v>
      </c>
      <c r="O33">
        <v>5.2310293010412465</v>
      </c>
      <c r="P33">
        <v>5.0633364386197144</v>
      </c>
      <c r="Q33">
        <v>7.9674852097089968</v>
      </c>
      <c r="R33">
        <v>5.7391615257254216</v>
      </c>
      <c r="S33">
        <v>2.9395678082783974</v>
      </c>
      <c r="T33">
        <v>7.311017731400085</v>
      </c>
      <c r="U33">
        <v>4.6145674859862709</v>
      </c>
      <c r="V33">
        <v>4.9712156570026735</v>
      </c>
      <c r="W33">
        <v>2.0526945663327893</v>
      </c>
      <c r="X33">
        <v>0.1333440478036465</v>
      </c>
      <c r="Y33">
        <v>-1.3717729105400167</v>
      </c>
      <c r="Z33">
        <v>0.27561637511306003</v>
      </c>
      <c r="AA33">
        <v>-3.9387379276446808</v>
      </c>
      <c r="AB33">
        <v>-4.0421213999185568</v>
      </c>
      <c r="AC33">
        <v>-0.20066569836212977</v>
      </c>
      <c r="AD33">
        <v>-1.6763897812450068</v>
      </c>
      <c r="AE33">
        <v>-2.5738842003071198</v>
      </c>
      <c r="AF33">
        <v>2.463484615621141</v>
      </c>
      <c r="AG33">
        <v>2.9094979605432911</v>
      </c>
      <c r="AH33">
        <v>3.7901309635414009</v>
      </c>
      <c r="AI33">
        <v>4.6357874278517954</v>
      </c>
      <c r="AJ33">
        <v>5.2665266676276303</v>
      </c>
      <c r="AK33">
        <v>1.6464981831706922</v>
      </c>
      <c r="AL33">
        <v>4.2692961166150241</v>
      </c>
      <c r="AM33">
        <v>4.6672651026678551</v>
      </c>
      <c r="AN33">
        <v>4.6782765970997104</v>
      </c>
      <c r="AO33">
        <v>4.3613419524457555</v>
      </c>
      <c r="AP33">
        <v>4.9542087429972099</v>
      </c>
      <c r="AQ33">
        <v>5.0293547554307168</v>
      </c>
      <c r="AR33">
        <v>0.42688542258882478</v>
      </c>
      <c r="AS33">
        <v>2.507810808994833</v>
      </c>
      <c r="AT33">
        <v>1.6837991272182506</v>
      </c>
      <c r="AU33">
        <v>2.4855657378382858</v>
      </c>
      <c r="AV33">
        <v>2.711339837006733</v>
      </c>
      <c r="AW33">
        <v>4.1732955891624783</v>
      </c>
      <c r="AX33">
        <v>4.4214331268797906</v>
      </c>
      <c r="AY33">
        <v>4.7970088235606738</v>
      </c>
      <c r="AZ33">
        <v>4.5643842688788681</v>
      </c>
      <c r="BA33">
        <v>6.1484978746216399</v>
      </c>
      <c r="BB33">
        <v>3.3569995743056467</v>
      </c>
      <c r="BC33">
        <v>4.1267225910567049</v>
      </c>
      <c r="BD33">
        <v>5.2040924430859974</v>
      </c>
      <c r="BE33">
        <v>5.1222755809175737</v>
      </c>
      <c r="BF33">
        <v>6.7960114281084145</v>
      </c>
      <c r="BG33">
        <v>5.4605695063513622</v>
      </c>
      <c r="BH33">
        <v>4.8571871797141313</v>
      </c>
      <c r="BI33">
        <v>4.2639208638211272</v>
      </c>
      <c r="BJ33">
        <v>4.1952063336039487</v>
      </c>
      <c r="BK33">
        <v>4.2236236527184445</v>
      </c>
      <c r="BL33">
        <v>2.2167056396103106</v>
      </c>
      <c r="BM33">
        <v>-8.7378843576993006</v>
      </c>
      <c r="BN33">
        <v>6.1113727245857348</v>
      </c>
      <c r="BO33">
        <v>3.6056803827947164</v>
      </c>
    </row>
    <row r="34" spans="1:67">
      <c r="A34" t="s">
        <v>842</v>
      </c>
      <c r="B34" t="s">
        <v>843</v>
      </c>
      <c r="C34" t="s">
        <v>784</v>
      </c>
      <c r="D34" t="s">
        <v>785</v>
      </c>
      <c r="F34">
        <v>8.6000000000001364</v>
      </c>
      <c r="G34">
        <v>6.5999999999999233</v>
      </c>
      <c r="H34">
        <v>0.60000000000006537</v>
      </c>
      <c r="I34">
        <v>3.3999999999998494</v>
      </c>
      <c r="J34">
        <v>2.4000000000000057</v>
      </c>
      <c r="K34">
        <v>6.7000000000001023</v>
      </c>
      <c r="L34">
        <v>4.2</v>
      </c>
      <c r="M34">
        <v>9.7999999999999829</v>
      </c>
      <c r="N34">
        <v>9.4999999999999289</v>
      </c>
      <c r="O34">
        <v>10.4</v>
      </c>
      <c r="P34">
        <v>11.342921993190828</v>
      </c>
      <c r="Q34">
        <v>11.940348116250817</v>
      </c>
      <c r="R34">
        <v>13.968721779678205</v>
      </c>
      <c r="S34">
        <v>8.1539386845720117</v>
      </c>
      <c r="T34">
        <v>5.1666490840632093</v>
      </c>
      <c r="U34">
        <v>10.257129534786728</v>
      </c>
      <c r="V34">
        <v>4.9343280697896148</v>
      </c>
      <c r="W34">
        <v>4.9698976892473752</v>
      </c>
      <c r="X34">
        <v>6.7595601220407957</v>
      </c>
      <c r="Y34">
        <v>9.1999999999997613</v>
      </c>
      <c r="Z34">
        <v>-4.2499999999995595</v>
      </c>
      <c r="AA34">
        <v>0.82999999999952934</v>
      </c>
      <c r="AB34">
        <v>-2.9299999999999642</v>
      </c>
      <c r="AC34">
        <v>5.3999999999998778</v>
      </c>
      <c r="AD34">
        <v>7.8500000000004206</v>
      </c>
      <c r="AE34">
        <v>7.4899999999998244</v>
      </c>
      <c r="AF34">
        <v>3.5299999999998306</v>
      </c>
      <c r="AG34">
        <v>-5.9999999999917009E-2</v>
      </c>
      <c r="AH34">
        <v>3.1600000000003234</v>
      </c>
      <c r="AI34">
        <v>-4.3500000000002217</v>
      </c>
      <c r="AJ34">
        <v>1.032189585493029</v>
      </c>
      <c r="AK34">
        <v>-0.54407204977727019</v>
      </c>
      <c r="AL34">
        <v>4.9246900037070986</v>
      </c>
      <c r="AM34">
        <v>5.8528703621901315</v>
      </c>
      <c r="AN34">
        <v>4.2237936335041297</v>
      </c>
      <c r="AO34">
        <v>2.2088640503902184</v>
      </c>
      <c r="AP34">
        <v>3.3948459863067058</v>
      </c>
      <c r="AQ34">
        <v>0.33809790120730554</v>
      </c>
      <c r="AR34">
        <v>0.4679375664771328</v>
      </c>
      <c r="AS34">
        <v>4.3879494474561795</v>
      </c>
      <c r="AT34">
        <v>1.3898964009563741</v>
      </c>
      <c r="AU34">
        <v>3.0534618590931188</v>
      </c>
      <c r="AV34">
        <v>1.1408289982488782</v>
      </c>
      <c r="AW34">
        <v>5.7599646367095403</v>
      </c>
      <c r="AX34">
        <v>3.2021320613043116</v>
      </c>
      <c r="AY34">
        <v>3.9619887112261694</v>
      </c>
      <c r="AZ34">
        <v>6.0698706067833825</v>
      </c>
      <c r="BA34">
        <v>5.0941954465873636</v>
      </c>
      <c r="BB34">
        <v>-0.12581200216116883</v>
      </c>
      <c r="BC34">
        <v>7.5282258181536434</v>
      </c>
      <c r="BD34">
        <v>3.9744230794470212</v>
      </c>
      <c r="BE34">
        <v>1.9211759857653732</v>
      </c>
      <c r="BF34">
        <v>3.004822669444323</v>
      </c>
      <c r="BG34">
        <v>0.50395574024224743</v>
      </c>
      <c r="BH34">
        <v>-3.5457633926942549</v>
      </c>
      <c r="BI34">
        <v>-3.275916907821923</v>
      </c>
      <c r="BJ34">
        <v>1.3228690540439914</v>
      </c>
      <c r="BK34">
        <v>1.7836667616339952</v>
      </c>
      <c r="BL34">
        <v>1.2207778236084152</v>
      </c>
      <c r="BM34">
        <v>-3.2767587964736009</v>
      </c>
      <c r="BN34">
        <v>4.9888497006601824</v>
      </c>
      <c r="BO34">
        <v>2.900530615226927</v>
      </c>
    </row>
    <row r="35" spans="1:67">
      <c r="A35" t="s">
        <v>844</v>
      </c>
      <c r="B35" t="s">
        <v>845</v>
      </c>
      <c r="C35" t="s">
        <v>784</v>
      </c>
      <c r="D35" t="s">
        <v>785</v>
      </c>
      <c r="T35">
        <v>-1.9000000010200466</v>
      </c>
      <c r="U35">
        <v>4.360211004713733</v>
      </c>
      <c r="V35">
        <v>3.6422057690320031</v>
      </c>
      <c r="W35">
        <v>4.8769393145442024</v>
      </c>
      <c r="X35">
        <v>7.8930081365051734</v>
      </c>
      <c r="Y35">
        <v>4.3730648138365922</v>
      </c>
      <c r="Z35">
        <v>-1.8997515709484105</v>
      </c>
      <c r="AA35">
        <v>-4.9009384775808229</v>
      </c>
      <c r="AB35">
        <v>0.50125313283209039</v>
      </c>
      <c r="AC35">
        <v>3.6003740648379079</v>
      </c>
      <c r="AD35">
        <v>1.0982398074319377</v>
      </c>
      <c r="AE35">
        <v>5.1041666666666714</v>
      </c>
      <c r="AF35">
        <v>2.5909670111850431</v>
      </c>
      <c r="AG35">
        <v>3.5053822798785603</v>
      </c>
      <c r="AH35">
        <v>3.6000000000000085</v>
      </c>
      <c r="AI35">
        <v>-3.3075933075933079</v>
      </c>
      <c r="AJ35">
        <v>-3.8999068281645179</v>
      </c>
      <c r="AK35">
        <v>-5.6925207756232652</v>
      </c>
      <c r="AL35">
        <v>0.79306799823761764</v>
      </c>
      <c r="AM35">
        <v>2.0107824566516115</v>
      </c>
      <c r="AN35">
        <v>2.0139980002856817</v>
      </c>
      <c r="AO35">
        <v>3.976477177261259</v>
      </c>
      <c r="AP35">
        <v>4.7401023431187639</v>
      </c>
      <c r="AQ35">
        <v>3.7284649010028232</v>
      </c>
      <c r="AR35">
        <v>0.33465542885473099</v>
      </c>
      <c r="AS35">
        <v>4.4471896232242187</v>
      </c>
      <c r="AT35">
        <v>-2.3654642223536371</v>
      </c>
      <c r="AU35">
        <v>0.7874015748031411</v>
      </c>
      <c r="AV35">
        <v>2.1754807692307736</v>
      </c>
      <c r="AW35">
        <v>1.4115986354546521</v>
      </c>
      <c r="AX35">
        <v>3.9554576035262698</v>
      </c>
      <c r="AY35">
        <v>6.0455255523320659</v>
      </c>
      <c r="AZ35">
        <v>2.0791683326669244</v>
      </c>
      <c r="BA35">
        <v>0.65248314676232155</v>
      </c>
      <c r="BB35">
        <v>-5.0354849611355235</v>
      </c>
      <c r="BC35">
        <v>-2.2721880728998229</v>
      </c>
      <c r="BD35">
        <v>-0.74815444202907599</v>
      </c>
      <c r="BE35">
        <v>-0.30574239813219606</v>
      </c>
      <c r="BF35">
        <v>-1.2992082078733205</v>
      </c>
      <c r="BG35">
        <v>-1.1298796678147482E-3</v>
      </c>
      <c r="BH35">
        <v>2.4258790563138461</v>
      </c>
      <c r="BI35">
        <v>2.5349968560743861</v>
      </c>
      <c r="BJ35">
        <v>0.46261928584492296</v>
      </c>
      <c r="BK35">
        <v>-0.87171633879137289</v>
      </c>
      <c r="BL35">
        <v>0.26359855236862018</v>
      </c>
      <c r="BM35">
        <v>-12.737988772640591</v>
      </c>
      <c r="BN35">
        <v>-0.78284169064171749</v>
      </c>
      <c r="BO35">
        <v>11.333739872811208</v>
      </c>
    </row>
    <row r="36" spans="1:67">
      <c r="A36" t="s">
        <v>846</v>
      </c>
      <c r="B36" t="s">
        <v>847</v>
      </c>
      <c r="C36" t="s">
        <v>784</v>
      </c>
      <c r="D36" t="s">
        <v>785</v>
      </c>
      <c r="T36">
        <v>0.35546306830352137</v>
      </c>
      <c r="U36">
        <v>20.155394356708328</v>
      </c>
      <c r="V36">
        <v>10.91669705566629</v>
      </c>
      <c r="W36">
        <v>6.7758344222611981</v>
      </c>
      <c r="X36">
        <v>22.56242876382106</v>
      </c>
      <c r="Y36">
        <v>-6.9967029840247079</v>
      </c>
      <c r="Z36">
        <v>-19.826715864743477</v>
      </c>
      <c r="AA36">
        <v>3.9566549383826839</v>
      </c>
      <c r="AB36">
        <v>0.50146596585787506</v>
      </c>
      <c r="AC36">
        <v>0.59987654172437033</v>
      </c>
      <c r="AD36">
        <v>-1.4907490803360872</v>
      </c>
      <c r="AE36">
        <v>-2.7154699532441526</v>
      </c>
      <c r="AF36">
        <v>2.0091298136283768</v>
      </c>
      <c r="AG36">
        <v>1.0973671657358324</v>
      </c>
      <c r="AH36">
        <v>-1.074178572620923</v>
      </c>
      <c r="AI36">
        <v>1.0894205354875766</v>
      </c>
      <c r="AJ36">
        <v>3.1459413616626648</v>
      </c>
      <c r="AK36">
        <v>4.7585808455215926</v>
      </c>
      <c r="AL36">
        <v>0.30457287414186851</v>
      </c>
      <c r="AM36">
        <v>3.1453973953587564</v>
      </c>
      <c r="AN36">
        <v>4.4787073398374844</v>
      </c>
      <c r="AO36">
        <v>2.8783177472123498</v>
      </c>
      <c r="AP36">
        <v>-1.4711715721825698</v>
      </c>
      <c r="AQ36">
        <v>-0.55850885109747139</v>
      </c>
      <c r="AR36">
        <v>3.0521571416020805</v>
      </c>
      <c r="AS36">
        <v>2.8494218578272665</v>
      </c>
      <c r="AT36">
        <v>2.7440405176520244</v>
      </c>
      <c r="AU36">
        <v>3.8720969670429781</v>
      </c>
      <c r="AV36">
        <v>2.9039554765311522</v>
      </c>
      <c r="AW36">
        <v>0.50431825268732666</v>
      </c>
      <c r="AX36">
        <v>0.38750720823207985</v>
      </c>
      <c r="AY36">
        <v>4.3977196775217635</v>
      </c>
      <c r="AZ36">
        <v>0.15458181174277286</v>
      </c>
      <c r="BA36">
        <v>-1.9397146378467056</v>
      </c>
      <c r="BB36">
        <v>-1.764535541326012</v>
      </c>
      <c r="BC36">
        <v>2.5989657464322562</v>
      </c>
      <c r="BD36">
        <v>3.7453183520599396</v>
      </c>
      <c r="BE36">
        <v>0.91284167096441138</v>
      </c>
      <c r="BF36">
        <v>-2.1260285174017497</v>
      </c>
      <c r="BG36">
        <v>-2.508352566445609</v>
      </c>
      <c r="BH36">
        <v>-0.39238374950203081</v>
      </c>
      <c r="BI36">
        <v>-2.4779177183322361</v>
      </c>
      <c r="BJ36">
        <v>1.328602551617152</v>
      </c>
      <c r="BK36">
        <v>5.2237790776771931E-2</v>
      </c>
      <c r="BL36">
        <v>3.8691098650684523</v>
      </c>
      <c r="BM36">
        <v>1.1335733495245961</v>
      </c>
      <c r="BN36">
        <v>-1.590762600996058</v>
      </c>
      <c r="BO36">
        <v>-1.6283315451510845</v>
      </c>
    </row>
    <row r="37" spans="1:67">
      <c r="A37" t="s">
        <v>848</v>
      </c>
      <c r="B37" t="s">
        <v>849</v>
      </c>
      <c r="C37" t="s">
        <v>784</v>
      </c>
      <c r="D37" t="s">
        <v>785</v>
      </c>
      <c r="Z37">
        <v>15.122294842424068</v>
      </c>
      <c r="AA37">
        <v>3.4397738487073752</v>
      </c>
      <c r="AB37">
        <v>10.431015942503237</v>
      </c>
      <c r="AC37">
        <v>4.556658988636201</v>
      </c>
      <c r="AD37">
        <v>4.0285330002066928</v>
      </c>
      <c r="AE37">
        <v>11.392197597756066</v>
      </c>
      <c r="AF37">
        <v>29.054323847847598</v>
      </c>
      <c r="AG37">
        <v>4.7673730214563079</v>
      </c>
      <c r="AH37">
        <v>7.3555673178236276</v>
      </c>
      <c r="AI37">
        <v>10.383117915023533</v>
      </c>
      <c r="AJ37">
        <v>-0.40787568723959566</v>
      </c>
      <c r="AK37">
        <v>4.6008914318463923</v>
      </c>
      <c r="AL37">
        <v>1.9863665899687106</v>
      </c>
      <c r="AM37">
        <v>4.9515036702049144</v>
      </c>
      <c r="AN37">
        <v>7.074117277945021</v>
      </c>
      <c r="AO37">
        <v>5.5651728621203773</v>
      </c>
      <c r="AP37">
        <v>5.3738385191449254</v>
      </c>
      <c r="AQ37">
        <v>5.9140308346198083</v>
      </c>
      <c r="AR37">
        <v>7.983972021833182</v>
      </c>
      <c r="AS37">
        <v>3.3550682847402555</v>
      </c>
      <c r="AT37">
        <v>8.3489544828285034</v>
      </c>
      <c r="AU37">
        <v>10.992281843750959</v>
      </c>
      <c r="AV37">
        <v>7.8233023614973689</v>
      </c>
      <c r="AW37">
        <v>6.0087422361326617</v>
      </c>
      <c r="AX37">
        <v>7.2872493521869472</v>
      </c>
      <c r="AY37">
        <v>6.9997380950091781</v>
      </c>
      <c r="AZ37">
        <v>18.360854055545246</v>
      </c>
      <c r="BA37">
        <v>4.7994606115589846</v>
      </c>
      <c r="BB37">
        <v>6.7483337484975721</v>
      </c>
      <c r="BC37">
        <v>11.94589599837596</v>
      </c>
      <c r="BD37">
        <v>7.9826170405583809</v>
      </c>
      <c r="BE37">
        <v>5.1184008580055007</v>
      </c>
      <c r="BF37">
        <v>2.1199726329818702</v>
      </c>
      <c r="BG37">
        <v>5.7764956801373444</v>
      </c>
      <c r="BH37">
        <v>6.6422321053551912</v>
      </c>
      <c r="BI37">
        <v>8.1270335383893553</v>
      </c>
      <c r="BJ37">
        <v>4.6518346752961293</v>
      </c>
      <c r="BK37">
        <v>3.5018718372387383</v>
      </c>
      <c r="BL37">
        <v>5.755148506182266</v>
      </c>
      <c r="BM37">
        <v>-10.218397407368911</v>
      </c>
      <c r="BN37">
        <v>4.4213674022059166</v>
      </c>
    </row>
    <row r="38" spans="1:67">
      <c r="A38" t="s">
        <v>850</v>
      </c>
      <c r="B38" t="s">
        <v>851</v>
      </c>
      <c r="C38" t="s">
        <v>784</v>
      </c>
      <c r="D38" t="s">
        <v>785</v>
      </c>
      <c r="F38">
        <v>6.343283719672101</v>
      </c>
      <c r="G38">
        <v>6.6666678131773551</v>
      </c>
      <c r="H38">
        <v>5.9210450966519375</v>
      </c>
      <c r="I38">
        <v>6.8323009307817699</v>
      </c>
      <c r="J38">
        <v>5.8139550599028382</v>
      </c>
      <c r="K38">
        <v>6.3440190960052547</v>
      </c>
      <c r="L38">
        <v>5.9245599408591261</v>
      </c>
      <c r="M38">
        <v>10.567056502303984</v>
      </c>
      <c r="N38">
        <v>15.123404705910687</v>
      </c>
      <c r="O38">
        <v>17.120267672002271</v>
      </c>
      <c r="P38">
        <v>25.821107219257769</v>
      </c>
      <c r="Q38">
        <v>26.361940947497146</v>
      </c>
      <c r="R38">
        <v>21.303184092630417</v>
      </c>
      <c r="S38">
        <v>8.797795216121699</v>
      </c>
      <c r="T38">
        <v>8.4462503813232104</v>
      </c>
      <c r="U38">
        <v>10.647376707679371</v>
      </c>
      <c r="V38">
        <v>12.012040089002724</v>
      </c>
      <c r="W38">
        <v>14.332801588576146</v>
      </c>
      <c r="X38">
        <v>12.148588920900821</v>
      </c>
      <c r="Y38">
        <v>11.986901385777543</v>
      </c>
      <c r="Z38">
        <v>9.0648574647498776</v>
      </c>
      <c r="AA38">
        <v>12.165531855167288</v>
      </c>
      <c r="AB38">
        <v>13.146729050458489</v>
      </c>
      <c r="AC38">
        <v>8.5453836391253617</v>
      </c>
      <c r="AD38">
        <v>7.1252712677901968</v>
      </c>
      <c r="AE38">
        <v>8.1729243318818874</v>
      </c>
      <c r="AF38">
        <v>11.881928137320259</v>
      </c>
      <c r="AG38">
        <v>19.449969508567477</v>
      </c>
      <c r="AH38">
        <v>13.059405887078455</v>
      </c>
      <c r="AI38">
        <v>6.7728219493826458</v>
      </c>
      <c r="AJ38">
        <v>7.4587092194372246</v>
      </c>
      <c r="AK38">
        <v>2.9170701875102623</v>
      </c>
      <c r="AL38">
        <v>1.9161070518754002</v>
      </c>
      <c r="AM38">
        <v>3.6279161517297496</v>
      </c>
      <c r="AN38">
        <v>7.0304102483408286</v>
      </c>
      <c r="AO38">
        <v>5.82980001379714</v>
      </c>
      <c r="AP38">
        <v>8.3258908839659114</v>
      </c>
      <c r="AQ38">
        <v>0.44366358607537393</v>
      </c>
      <c r="AR38">
        <v>9.6672407027610632</v>
      </c>
      <c r="AS38">
        <v>1.9876958337855228</v>
      </c>
      <c r="AT38">
        <v>0.25057394968908397</v>
      </c>
      <c r="AU38">
        <v>6.0695308764831708</v>
      </c>
      <c r="AV38">
        <v>4.6258947495929874</v>
      </c>
      <c r="AW38">
        <v>2.7058217061117347</v>
      </c>
      <c r="AX38">
        <v>4.5566456532318114</v>
      </c>
      <c r="AY38">
        <v>8.3638710928230608</v>
      </c>
      <c r="AZ38">
        <v>5.7925557772711755</v>
      </c>
      <c r="BA38">
        <v>3.2520729579683234</v>
      </c>
      <c r="BB38">
        <v>-14.144234616342331</v>
      </c>
      <c r="BC38">
        <v>10.122209117973242</v>
      </c>
      <c r="BD38">
        <v>6.8385297480348299</v>
      </c>
      <c r="BE38">
        <v>-0.17090076145689181</v>
      </c>
      <c r="BF38">
        <v>11.102823777977051</v>
      </c>
      <c r="BG38">
        <v>5.6947773818595238</v>
      </c>
      <c r="BH38">
        <v>-4.8513356403616683</v>
      </c>
      <c r="BI38">
        <v>7.2044247591426682</v>
      </c>
      <c r="BJ38">
        <v>4.1143636634186009</v>
      </c>
      <c r="BK38">
        <v>4.1880935537369766</v>
      </c>
      <c r="BL38">
        <v>3.0322025744566048</v>
      </c>
      <c r="BM38">
        <v>-8.728752526390366</v>
      </c>
      <c r="BN38">
        <v>11.870358315142497</v>
      </c>
      <c r="BO38">
        <v>5.7879172029484636</v>
      </c>
    </row>
    <row r="39" spans="1:67">
      <c r="A39" t="s">
        <v>852</v>
      </c>
      <c r="B39" t="s">
        <v>853</v>
      </c>
      <c r="C39" t="s">
        <v>784</v>
      </c>
      <c r="D39" t="s">
        <v>785</v>
      </c>
      <c r="F39">
        <v>4.9535537979722903</v>
      </c>
      <c r="G39">
        <v>-3.7138001840968542</v>
      </c>
      <c r="H39">
        <v>-0.7070107522363287</v>
      </c>
      <c r="I39">
        <v>2.08032459940857</v>
      </c>
      <c r="J39">
        <v>0.94757871225685619</v>
      </c>
      <c r="K39">
        <v>0.64478372023779684</v>
      </c>
      <c r="L39">
        <v>4.6766131089007956</v>
      </c>
      <c r="M39">
        <v>1.4041131769309203</v>
      </c>
      <c r="N39">
        <v>7.0915425276309634</v>
      </c>
      <c r="O39">
        <v>2.3328808767934675</v>
      </c>
      <c r="P39">
        <v>1.1302023840583502</v>
      </c>
      <c r="Q39">
        <v>-8.6717483111442561E-4</v>
      </c>
      <c r="R39">
        <v>1.8889399562939957</v>
      </c>
      <c r="S39">
        <v>6.3390336122831599</v>
      </c>
      <c r="T39">
        <v>0.40498710404206406</v>
      </c>
      <c r="U39">
        <v>5.4325189869129247</v>
      </c>
      <c r="V39">
        <v>3.8062349140823386</v>
      </c>
      <c r="W39">
        <v>1.209235419435899</v>
      </c>
      <c r="X39">
        <v>-2.4651377846863625</v>
      </c>
      <c r="Y39">
        <v>-4.4786388479494832</v>
      </c>
      <c r="Z39">
        <v>-1.5444656647014909</v>
      </c>
      <c r="AA39">
        <v>7.7157836309039283</v>
      </c>
      <c r="AB39">
        <v>-8.1265135927456811</v>
      </c>
      <c r="AC39">
        <v>9.4817266529253317</v>
      </c>
      <c r="AD39">
        <v>3.9272195379805623</v>
      </c>
      <c r="AE39">
        <v>3.5779792543046085</v>
      </c>
      <c r="AF39">
        <v>-4.9389878850254547</v>
      </c>
      <c r="AG39">
        <v>1.7101652847238569</v>
      </c>
      <c r="AH39">
        <v>1.9772704345194541</v>
      </c>
      <c r="AI39">
        <v>-2.1475280657408717</v>
      </c>
      <c r="AJ39">
        <v>-0.55254300510186738</v>
      </c>
      <c r="AK39">
        <v>-6.4240781994633096</v>
      </c>
      <c r="AL39">
        <v>0.33527568464606361</v>
      </c>
      <c r="AM39">
        <v>4.8999494100011418</v>
      </c>
      <c r="AN39">
        <v>7.200045557519033</v>
      </c>
      <c r="AO39">
        <v>-4.0000929636478872</v>
      </c>
      <c r="AP39">
        <v>5.2999360182607376</v>
      </c>
      <c r="AQ39">
        <v>4.7001423787932879</v>
      </c>
      <c r="AR39">
        <v>3.5999749043227354</v>
      </c>
      <c r="AS39">
        <v>-2.4894324402887378</v>
      </c>
      <c r="AT39">
        <v>4.4647390264086653</v>
      </c>
      <c r="AU39">
        <v>3.6165421915059568</v>
      </c>
      <c r="AV39">
        <v>-5.3974852185587707</v>
      </c>
      <c r="AW39">
        <v>5.9948842279869581</v>
      </c>
      <c r="AX39">
        <v>0.90821051487195348</v>
      </c>
      <c r="AY39">
        <v>4.7710854304410475</v>
      </c>
      <c r="AZ39">
        <v>4.607534854520253</v>
      </c>
      <c r="BA39">
        <v>2.054130962004848</v>
      </c>
      <c r="BB39">
        <v>8.5872604264099408</v>
      </c>
      <c r="BC39">
        <v>4.6308184322330703</v>
      </c>
      <c r="BD39">
        <v>4.19461533741989</v>
      </c>
      <c r="BE39">
        <v>5.0537612535691778</v>
      </c>
      <c r="BF39">
        <v>-36.391977098388672</v>
      </c>
      <c r="BG39">
        <v>8.107051532648768E-2</v>
      </c>
      <c r="BH39">
        <v>4.3371210302023115</v>
      </c>
      <c r="BI39">
        <v>4.7503168412234231</v>
      </c>
      <c r="BJ39">
        <v>4.52727821346231</v>
      </c>
      <c r="BK39">
        <v>3.7894435927546226</v>
      </c>
      <c r="BL39">
        <v>3.0999999999999943</v>
      </c>
      <c r="BM39">
        <v>0.899999996857062</v>
      </c>
      <c r="BN39">
        <v>0.98292000000006396</v>
      </c>
      <c r="BO39">
        <v>0.50211000000000183</v>
      </c>
    </row>
    <row r="40" spans="1:67">
      <c r="A40" t="s">
        <v>854</v>
      </c>
      <c r="B40" t="s">
        <v>855</v>
      </c>
      <c r="C40" t="s">
        <v>784</v>
      </c>
      <c r="D40" t="s">
        <v>785</v>
      </c>
      <c r="F40">
        <v>3.1632916837129841</v>
      </c>
      <c r="G40">
        <v>7.425384774437191</v>
      </c>
      <c r="H40">
        <v>5.3495464571364835</v>
      </c>
      <c r="I40">
        <v>6.6428944149882057</v>
      </c>
      <c r="J40">
        <v>6.3167141755723151</v>
      </c>
      <c r="K40">
        <v>6.7049917643470849</v>
      </c>
      <c r="L40">
        <v>3.0912059621780941</v>
      </c>
      <c r="M40">
        <v>4.9956666046404337</v>
      </c>
      <c r="N40">
        <v>5.0454563673696384</v>
      </c>
      <c r="O40">
        <v>11.64409033219647</v>
      </c>
      <c r="P40">
        <v>4.0188449345122734</v>
      </c>
      <c r="Q40">
        <v>5.5196700652791435</v>
      </c>
      <c r="R40">
        <v>6.728641388451166</v>
      </c>
      <c r="S40">
        <v>3.3577759716522593</v>
      </c>
      <c r="T40">
        <v>1.5454033460987233</v>
      </c>
      <c r="U40">
        <v>5.8892758268293051</v>
      </c>
      <c r="V40">
        <v>3.5348267060855534</v>
      </c>
      <c r="W40">
        <v>3.735976372064755</v>
      </c>
      <c r="X40">
        <v>3.7251994149005867</v>
      </c>
      <c r="Y40">
        <v>2.1771991602122114</v>
      </c>
      <c r="Z40">
        <v>3.4150652553737189</v>
      </c>
      <c r="AA40">
        <v>-3.1661502665775316</v>
      </c>
      <c r="AB40">
        <v>2.5622535981325854</v>
      </c>
      <c r="AC40">
        <v>5.898569425083906</v>
      </c>
      <c r="AD40">
        <v>4.7376807928156239</v>
      </c>
      <c r="AE40">
        <v>2.1214808409607144</v>
      </c>
      <c r="AF40">
        <v>4.0720157587054331</v>
      </c>
      <c r="AG40">
        <v>4.4108390682577721</v>
      </c>
      <c r="AH40">
        <v>2.337329746376156</v>
      </c>
      <c r="AI40">
        <v>0.20294786274889987</v>
      </c>
      <c r="AJ40">
        <v>-2.091055179306764</v>
      </c>
      <c r="AK40">
        <v>0.89046625458774997</v>
      </c>
      <c r="AL40">
        <v>2.6577068831768855</v>
      </c>
      <c r="AM40">
        <v>4.4940492434982104</v>
      </c>
      <c r="AN40">
        <v>2.6823283030522873</v>
      </c>
      <c r="AO40">
        <v>1.6889612075406291</v>
      </c>
      <c r="AP40">
        <v>4.280166862552278</v>
      </c>
      <c r="AQ40">
        <v>3.8928865299076705</v>
      </c>
      <c r="AR40">
        <v>5.1410034800858426</v>
      </c>
      <c r="AS40">
        <v>5.1385391859302558</v>
      </c>
      <c r="AT40">
        <v>1.8750981321680342</v>
      </c>
      <c r="AU40">
        <v>2.9992553495693954</v>
      </c>
      <c r="AV40">
        <v>1.8063851348452147</v>
      </c>
      <c r="AW40">
        <v>3.0923638345656173</v>
      </c>
      <c r="AX40">
        <v>3.2104543565120309</v>
      </c>
      <c r="AY40">
        <v>2.6379438004106959</v>
      </c>
      <c r="AZ40">
        <v>2.0499046110900423</v>
      </c>
      <c r="BA40">
        <v>0.99540630999359792</v>
      </c>
      <c r="BB40">
        <v>-2.9150862394973274</v>
      </c>
      <c r="BC40">
        <v>3.0908063740360205</v>
      </c>
      <c r="BD40">
        <v>3.1371943897366066</v>
      </c>
      <c r="BE40">
        <v>1.7556613254060096</v>
      </c>
      <c r="BF40">
        <v>2.3258135739347807</v>
      </c>
      <c r="BG40">
        <v>2.873466771849948</v>
      </c>
      <c r="BH40">
        <v>0.64997099370913247</v>
      </c>
      <c r="BI40">
        <v>1.0385509349179785</v>
      </c>
      <c r="BJ40">
        <v>3.033834902607893</v>
      </c>
      <c r="BK40">
        <v>2.7429634311255455</v>
      </c>
      <c r="BL40">
        <v>1.9084319253882995</v>
      </c>
      <c r="BM40">
        <v>-5.0382334412835093</v>
      </c>
      <c r="BN40">
        <v>5.2869568910588924</v>
      </c>
      <c r="BO40">
        <v>3.8198663391339664</v>
      </c>
    </row>
    <row r="41" spans="1:67">
      <c r="A41" t="s">
        <v>856</v>
      </c>
      <c r="B41" t="s">
        <v>857</v>
      </c>
      <c r="C41" t="s">
        <v>784</v>
      </c>
      <c r="D41" t="s">
        <v>785</v>
      </c>
      <c r="AJ41">
        <v>-9.7708589519274796</v>
      </c>
      <c r="AK41">
        <v>-1.9599505090396008</v>
      </c>
      <c r="AL41">
        <v>1.5460685531677001</v>
      </c>
      <c r="AM41">
        <v>4.1049386554127949</v>
      </c>
      <c r="AN41">
        <v>5.7124047151187085</v>
      </c>
      <c r="AO41">
        <v>4.5469138175976695</v>
      </c>
      <c r="AP41">
        <v>2.3136421821353252</v>
      </c>
      <c r="AQ41">
        <v>2.6801018661773526</v>
      </c>
      <c r="AR41">
        <v>1.9069234197247198</v>
      </c>
      <c r="AS41">
        <v>3.9568608920002077</v>
      </c>
      <c r="AT41">
        <v>3.0806476560071019</v>
      </c>
      <c r="AU41">
        <v>3.6147385974462054</v>
      </c>
      <c r="AV41">
        <v>4.0871009876758677</v>
      </c>
      <c r="AW41">
        <v>5.8399617661764438</v>
      </c>
      <c r="AX41">
        <v>5.0190236318109243</v>
      </c>
      <c r="AY41">
        <v>6.5947649457644957</v>
      </c>
      <c r="AZ41">
        <v>6.4329678634475584</v>
      </c>
      <c r="BA41">
        <v>3.9352372968711506</v>
      </c>
      <c r="BB41">
        <v>-3.5066592418873057</v>
      </c>
      <c r="BC41">
        <v>1.4354513276151977</v>
      </c>
      <c r="BD41">
        <v>3.5131594957314149</v>
      </c>
      <c r="BE41">
        <v>0.82403477898201061</v>
      </c>
      <c r="BF41">
        <v>0.66399819417843275</v>
      </c>
      <c r="BG41">
        <v>3.2125640373829185</v>
      </c>
      <c r="BH41">
        <v>4.0254247557508904</v>
      </c>
      <c r="BI41">
        <v>2.7496690354450664</v>
      </c>
      <c r="BJ41">
        <v>5.1029179658844868</v>
      </c>
      <c r="BK41">
        <v>4.9403132191964829</v>
      </c>
      <c r="BL41">
        <v>3.901769817537982</v>
      </c>
      <c r="BM41">
        <v>-3.4169758660003282</v>
      </c>
      <c r="BN41">
        <v>6.4760627575020067</v>
      </c>
      <c r="BO41">
        <v>4.1274850084710266</v>
      </c>
    </row>
    <row r="42" spans="1:67">
      <c r="A42" t="s">
        <v>858</v>
      </c>
      <c r="B42" t="s">
        <v>859</v>
      </c>
      <c r="C42" t="s">
        <v>784</v>
      </c>
      <c r="D42" t="s">
        <v>785</v>
      </c>
      <c r="Z42">
        <v>1.6013357268685411</v>
      </c>
      <c r="AA42">
        <v>-1.309417455312385</v>
      </c>
      <c r="AB42">
        <v>0.63907955959412277</v>
      </c>
      <c r="AC42">
        <v>3.008456392992457</v>
      </c>
      <c r="AD42">
        <v>3.67359587310645</v>
      </c>
      <c r="AE42">
        <v>1.8586327168779349</v>
      </c>
      <c r="AF42">
        <v>1.585478380611363</v>
      </c>
      <c r="AG42">
        <v>3.2775960369570072</v>
      </c>
      <c r="AH42">
        <v>4.3307942112451769</v>
      </c>
      <c r="AI42">
        <v>3.6746255931761738</v>
      </c>
      <c r="AJ42">
        <v>-0.91581666845632981</v>
      </c>
      <c r="AK42">
        <v>-4.3733003496583933E-2</v>
      </c>
      <c r="AL42">
        <v>-0.12598339460370767</v>
      </c>
      <c r="AM42">
        <v>1.2697576760622553</v>
      </c>
      <c r="AN42">
        <v>0.48086644894942765</v>
      </c>
      <c r="AO42">
        <v>0.47128002094629551</v>
      </c>
      <c r="AP42">
        <v>2.261325239028622</v>
      </c>
      <c r="AQ42">
        <v>3.0299691703928033</v>
      </c>
      <c r="AR42">
        <v>1.6627012841828446</v>
      </c>
      <c r="AS42">
        <v>3.9587197193351642</v>
      </c>
      <c r="AT42">
        <v>1.5756619674415617</v>
      </c>
      <c r="AU42">
        <v>-7.3217084042653369E-2</v>
      </c>
      <c r="AV42">
        <v>-3.239847653777872E-2</v>
      </c>
      <c r="AW42">
        <v>2.7017092096702839</v>
      </c>
      <c r="AX42">
        <v>2.7496989849848461</v>
      </c>
      <c r="AY42">
        <v>4.0736284499427455</v>
      </c>
      <c r="AZ42">
        <v>3.9163758177817982</v>
      </c>
      <c r="BA42">
        <v>2.8079836316869233</v>
      </c>
      <c r="BB42">
        <v>-2.2973746307154528</v>
      </c>
      <c r="BC42">
        <v>3.2433973355017258</v>
      </c>
      <c r="BD42">
        <v>1.8131081920369496</v>
      </c>
      <c r="BE42">
        <v>1.1792538332510816</v>
      </c>
      <c r="BF42">
        <v>1.7921440570748359</v>
      </c>
      <c r="BG42">
        <v>2.3498812750862612</v>
      </c>
      <c r="BH42">
        <v>1.6446276869928482</v>
      </c>
      <c r="BI42">
        <v>2.0686896670996049</v>
      </c>
      <c r="BJ42">
        <v>1.3627995571141582</v>
      </c>
      <c r="BK42">
        <v>2.8604457946163251</v>
      </c>
      <c r="BL42">
        <v>1.1419823250527656</v>
      </c>
      <c r="BM42">
        <v>-2.1417372065005367</v>
      </c>
      <c r="BN42">
        <v>5.391888041414731</v>
      </c>
      <c r="BO42">
        <v>2.5683281783406926</v>
      </c>
    </row>
    <row r="43" spans="1:67">
      <c r="A43" t="s">
        <v>860</v>
      </c>
      <c r="B43" t="s">
        <v>861</v>
      </c>
      <c r="C43" t="s">
        <v>784</v>
      </c>
      <c r="D43" t="s">
        <v>785</v>
      </c>
      <c r="BJ43">
        <v>1.9661099896005396</v>
      </c>
      <c r="BK43">
        <v>1.0522905617815752</v>
      </c>
      <c r="BL43">
        <v>1.3251166601360893</v>
      </c>
      <c r="BM43">
        <v>-7.9650788070545531</v>
      </c>
      <c r="BN43">
        <v>8.6467697165703186</v>
      </c>
    </row>
    <row r="44" spans="1:67">
      <c r="A44" t="s">
        <v>862</v>
      </c>
      <c r="B44" t="s">
        <v>863</v>
      </c>
      <c r="C44" t="s">
        <v>784</v>
      </c>
      <c r="D44" t="s">
        <v>785</v>
      </c>
      <c r="F44">
        <v>5.2452718844564856</v>
      </c>
      <c r="G44">
        <v>4.0266856234873103</v>
      </c>
      <c r="H44">
        <v>5.8401401399072768</v>
      </c>
      <c r="I44">
        <v>2.5572205384881528</v>
      </c>
      <c r="J44">
        <v>0.95027250528583806</v>
      </c>
      <c r="K44">
        <v>11.236242456381746</v>
      </c>
      <c r="L44">
        <v>3.6159998540523475</v>
      </c>
      <c r="M44">
        <v>3.5920133295412882</v>
      </c>
      <c r="N44">
        <v>3.9379832809683677</v>
      </c>
      <c r="O44">
        <v>1.8289669701924112</v>
      </c>
      <c r="P44">
        <v>9.4226862110576803</v>
      </c>
      <c r="Q44">
        <v>-1.0199477941220749</v>
      </c>
      <c r="R44">
        <v>-5.029248356026244</v>
      </c>
      <c r="S44">
        <v>2.3821493330888899</v>
      </c>
      <c r="T44">
        <v>-12.912101050878235</v>
      </c>
      <c r="U44">
        <v>3.8325840045835946</v>
      </c>
      <c r="V44">
        <v>10.444686378966779</v>
      </c>
      <c r="W44">
        <v>7.7011036025419912</v>
      </c>
      <c r="X44">
        <v>8.4183046871779226</v>
      </c>
      <c r="Y44">
        <v>7.9866207570610044</v>
      </c>
      <c r="Z44">
        <v>6.5253703664159133</v>
      </c>
      <c r="AA44">
        <v>-11.014305060156289</v>
      </c>
      <c r="AB44">
        <v>-5.0174205254242565</v>
      </c>
      <c r="AC44">
        <v>4.1036832392323959</v>
      </c>
      <c r="AD44">
        <v>4.009916202531528</v>
      </c>
      <c r="AE44">
        <v>5.3776923225917699</v>
      </c>
      <c r="AF44">
        <v>6.4604685282026821</v>
      </c>
      <c r="AG44">
        <v>7.3451104541691876</v>
      </c>
      <c r="AH44">
        <v>9.9233828972296294</v>
      </c>
      <c r="AI44">
        <v>3.3335654744456065</v>
      </c>
      <c r="AJ44">
        <v>7.8043921863624917</v>
      </c>
      <c r="AK44">
        <v>11.166707732399047</v>
      </c>
      <c r="AL44">
        <v>6.5887838266315981</v>
      </c>
      <c r="AM44">
        <v>5.0301979785673439</v>
      </c>
      <c r="AN44">
        <v>8.9332958692856579</v>
      </c>
      <c r="AO44">
        <v>6.8029165956803297</v>
      </c>
      <c r="AP44">
        <v>7.3917392678025209</v>
      </c>
      <c r="AQ44">
        <v>4.1808866272491088</v>
      </c>
      <c r="AR44">
        <v>-0.27363139775606271</v>
      </c>
      <c r="AS44">
        <v>4.9716214885003041</v>
      </c>
      <c r="AT44">
        <v>3.1540349243740025</v>
      </c>
      <c r="AU44">
        <v>3.2027991398553297</v>
      </c>
      <c r="AV44">
        <v>4.723245266811162</v>
      </c>
      <c r="AW44">
        <v>6.674254167459722</v>
      </c>
      <c r="AX44">
        <v>5.837045715257446</v>
      </c>
      <c r="AY44">
        <v>6.0499908290438213</v>
      </c>
      <c r="AZ44">
        <v>5.1682309872242911</v>
      </c>
      <c r="BA44">
        <v>3.7893928023371046</v>
      </c>
      <c r="BB44">
        <v>-1.1180372326977022</v>
      </c>
      <c r="BC44">
        <v>5.8516510173094929</v>
      </c>
      <c r="BD44">
        <v>6.2238967869385107</v>
      </c>
      <c r="BE44">
        <v>6.1553400209645872</v>
      </c>
      <c r="BF44">
        <v>3.3085082446911258</v>
      </c>
      <c r="BG44">
        <v>1.7926494736180558</v>
      </c>
      <c r="BH44">
        <v>2.1519424985363429</v>
      </c>
      <c r="BI44">
        <v>1.7530387455330469</v>
      </c>
      <c r="BJ44">
        <v>1.3576953779721066</v>
      </c>
      <c r="BK44">
        <v>3.9900294752167582</v>
      </c>
      <c r="BL44">
        <v>0.74313003157607227</v>
      </c>
      <c r="BM44">
        <v>-6.1452468581456543</v>
      </c>
      <c r="BN44">
        <v>11.737431066274851</v>
      </c>
      <c r="BO44">
        <v>2.4404034003461845</v>
      </c>
    </row>
    <row r="45" spans="1:67">
      <c r="A45" t="s">
        <v>864</v>
      </c>
      <c r="B45" t="s">
        <v>865</v>
      </c>
      <c r="C45" t="s">
        <v>784</v>
      </c>
      <c r="D45" t="s">
        <v>785</v>
      </c>
      <c r="F45">
        <v>-27.270000003922718</v>
      </c>
      <c r="G45">
        <v>-5.5799999902027508</v>
      </c>
      <c r="H45">
        <v>10.299999996478661</v>
      </c>
      <c r="I45">
        <v>18.17999999372384</v>
      </c>
      <c r="J45">
        <v>16.950000003960653</v>
      </c>
      <c r="K45">
        <v>10.649999998407324</v>
      </c>
      <c r="L45">
        <v>-5.7700000040503454</v>
      </c>
      <c r="M45">
        <v>-4.0999999865114773</v>
      </c>
      <c r="N45">
        <v>16.939999996069076</v>
      </c>
      <c r="O45">
        <v>19.299999996714462</v>
      </c>
      <c r="P45">
        <v>7.0599999985413433</v>
      </c>
      <c r="Q45">
        <v>3.8100000002139467</v>
      </c>
      <c r="R45">
        <v>7.7600000008268211</v>
      </c>
      <c r="S45">
        <v>2.3100000029558885</v>
      </c>
      <c r="T45">
        <v>8.7199999975016311</v>
      </c>
      <c r="U45">
        <v>-1.5700000016834963</v>
      </c>
      <c r="V45">
        <v>7.570000001370488</v>
      </c>
      <c r="W45">
        <v>11.325977987913376</v>
      </c>
      <c r="X45">
        <v>7.591324680000298</v>
      </c>
      <c r="Y45">
        <v>7.8341450159379917</v>
      </c>
      <c r="Z45">
        <v>5.1127610905891174</v>
      </c>
      <c r="AA45">
        <v>9.0171139138220298</v>
      </c>
      <c r="AB45">
        <v>10.770202506571451</v>
      </c>
      <c r="AC45">
        <v>15.191540023613399</v>
      </c>
      <c r="AD45">
        <v>13.430677520406405</v>
      </c>
      <c r="AE45">
        <v>8.9499617643800775</v>
      </c>
      <c r="AF45">
        <v>11.657427793135724</v>
      </c>
      <c r="AG45">
        <v>11.222594982521002</v>
      </c>
      <c r="AH45">
        <v>4.2063343554781483</v>
      </c>
      <c r="AI45">
        <v>3.9202513677656867</v>
      </c>
      <c r="AJ45">
        <v>9.2627860840623413</v>
      </c>
      <c r="AK45">
        <v>14.224529593182382</v>
      </c>
      <c r="AL45">
        <v>13.883729302103134</v>
      </c>
      <c r="AM45">
        <v>13.036806634166624</v>
      </c>
      <c r="AN45">
        <v>10.95395433681972</v>
      </c>
      <c r="AO45">
        <v>9.9225567561668271</v>
      </c>
      <c r="AP45">
        <v>9.2367798940196906</v>
      </c>
      <c r="AQ45">
        <v>7.845951782336229</v>
      </c>
      <c r="AR45">
        <v>7.6616515061607231</v>
      </c>
      <c r="AS45">
        <v>8.4900934036516134</v>
      </c>
      <c r="AT45">
        <v>8.3357334757762516</v>
      </c>
      <c r="AU45">
        <v>9.1336307895446964</v>
      </c>
      <c r="AV45">
        <v>10.038030484736964</v>
      </c>
      <c r="AW45">
        <v>10.11362137880208</v>
      </c>
      <c r="AX45">
        <v>11.394591808688787</v>
      </c>
      <c r="AY45">
        <v>12.720955663945105</v>
      </c>
      <c r="AZ45">
        <v>14.230860934047087</v>
      </c>
      <c r="BA45">
        <v>9.6506789183468982</v>
      </c>
      <c r="BB45">
        <v>9.3987256316321037</v>
      </c>
      <c r="BC45">
        <v>10.635871065957176</v>
      </c>
      <c r="BD45">
        <v>9.5508321788419863</v>
      </c>
      <c r="BE45">
        <v>7.8637364484526415</v>
      </c>
      <c r="BF45">
        <v>7.7661500973591018</v>
      </c>
      <c r="BG45">
        <v>7.4257636559691633</v>
      </c>
      <c r="BH45">
        <v>7.0413288794755005</v>
      </c>
      <c r="BI45">
        <v>6.8487622044418401</v>
      </c>
      <c r="BJ45">
        <v>6.9472007931653366</v>
      </c>
      <c r="BK45">
        <v>6.7497738325114796</v>
      </c>
      <c r="BL45">
        <v>5.950500754393147</v>
      </c>
      <c r="BM45">
        <v>2.2386383567412054</v>
      </c>
      <c r="BN45">
        <v>8.4484694162814122</v>
      </c>
      <c r="BO45">
        <v>2.9890840860365273</v>
      </c>
    </row>
    <row r="46" spans="1:67">
      <c r="A46" t="s">
        <v>866</v>
      </c>
      <c r="B46" t="s">
        <v>867</v>
      </c>
      <c r="C46" t="s">
        <v>784</v>
      </c>
      <c r="D46" t="s">
        <v>785</v>
      </c>
      <c r="F46">
        <v>9.9325551561181271</v>
      </c>
      <c r="G46">
        <v>1.2269944900720873</v>
      </c>
      <c r="H46">
        <v>14.490355865666956</v>
      </c>
      <c r="I46">
        <v>17.613087829945442</v>
      </c>
      <c r="J46">
        <v>-3.1096542733291841</v>
      </c>
      <c r="K46">
        <v>11.577359688023733</v>
      </c>
      <c r="L46">
        <v>4.5981517850538296</v>
      </c>
      <c r="M46">
        <v>12.548248639525681</v>
      </c>
      <c r="N46">
        <v>9.5392187705650286</v>
      </c>
      <c r="O46">
        <v>10.375031843742619</v>
      </c>
      <c r="P46">
        <v>9.4566376617545274</v>
      </c>
      <c r="Q46">
        <v>4.2366250117510873</v>
      </c>
      <c r="R46">
        <v>5.9391975361682086</v>
      </c>
      <c r="S46">
        <v>4.3273808575466006</v>
      </c>
      <c r="T46">
        <v>8.2528863673497739</v>
      </c>
      <c r="U46">
        <v>12.916397437547843</v>
      </c>
      <c r="V46">
        <v>7.3144591535426713</v>
      </c>
      <c r="W46">
        <v>10.909453652370459</v>
      </c>
      <c r="X46">
        <v>2.3944074619329569</v>
      </c>
      <c r="Y46">
        <v>-10.957697263721684</v>
      </c>
      <c r="Z46">
        <v>3.5004989085041842</v>
      </c>
      <c r="AA46">
        <v>0.20082234667104615</v>
      </c>
      <c r="AB46">
        <v>-3.9002404413810439</v>
      </c>
      <c r="AC46">
        <v>-2.701261434878333</v>
      </c>
      <c r="AD46">
        <v>4.5012231806874468</v>
      </c>
      <c r="AE46">
        <v>3.25934876606091</v>
      </c>
      <c r="AF46">
        <v>-0.34897291393886576</v>
      </c>
      <c r="AG46">
        <v>1.1364839656228725</v>
      </c>
      <c r="AH46">
        <v>2.9480049433544053</v>
      </c>
      <c r="AI46">
        <v>-1.095908412383082</v>
      </c>
      <c r="AJ46">
        <v>4.092517172529142E-2</v>
      </c>
      <c r="AK46">
        <v>-0.24456061069163582</v>
      </c>
      <c r="AL46">
        <v>-0.19248509860780416</v>
      </c>
      <c r="AM46">
        <v>0.81120667993548068</v>
      </c>
      <c r="AN46">
        <v>7.1257447283421698</v>
      </c>
      <c r="AO46">
        <v>7.729327419169735</v>
      </c>
      <c r="AP46">
        <v>9.6488400474632954</v>
      </c>
      <c r="AQ46">
        <v>4.2639059443723113</v>
      </c>
      <c r="AR46">
        <v>1.1668599820227286</v>
      </c>
      <c r="AS46">
        <v>-0.26578946227594713</v>
      </c>
      <c r="AT46">
        <v>-2.1540124907730558</v>
      </c>
      <c r="AU46">
        <v>-2.7305264744190083</v>
      </c>
      <c r="AV46">
        <v>-4.7258665863068074</v>
      </c>
      <c r="AW46">
        <v>3.1850382257539991</v>
      </c>
      <c r="AX46">
        <v>0.99606556485476005</v>
      </c>
      <c r="AY46">
        <v>2.8155785925232806</v>
      </c>
      <c r="AZ46">
        <v>1.1014297679347749</v>
      </c>
      <c r="BA46">
        <v>4.7826659787671986</v>
      </c>
      <c r="BB46">
        <v>3.6033215666705303</v>
      </c>
      <c r="BC46">
        <v>6.8480493990701348</v>
      </c>
      <c r="BD46">
        <v>-5.3704472400057881</v>
      </c>
      <c r="BE46">
        <v>7.6204117645164899</v>
      </c>
      <c r="BF46">
        <v>10.760213131125582</v>
      </c>
      <c r="BG46">
        <v>9.3719999424037468</v>
      </c>
      <c r="BH46">
        <v>7.1949494272819123</v>
      </c>
      <c r="BI46">
        <v>7.1727596395633242</v>
      </c>
      <c r="BJ46">
        <v>7.4107624262695282</v>
      </c>
      <c r="BK46">
        <v>4.8431460595176787</v>
      </c>
      <c r="BL46">
        <v>6.5182867330608758</v>
      </c>
      <c r="BM46">
        <v>1.7376204310327097</v>
      </c>
      <c r="BN46">
        <v>6.9999999944109703</v>
      </c>
      <c r="BO46">
        <v>6.7413300022033127</v>
      </c>
    </row>
    <row r="47" spans="1:67">
      <c r="A47" t="s">
        <v>868</v>
      </c>
      <c r="B47" t="s">
        <v>869</v>
      </c>
      <c r="C47" t="s">
        <v>784</v>
      </c>
      <c r="D47" t="s">
        <v>785</v>
      </c>
      <c r="F47">
        <v>1.1836808110119819</v>
      </c>
      <c r="G47">
        <v>3.0415590507930119</v>
      </c>
      <c r="H47">
        <v>3.7425503207407331</v>
      </c>
      <c r="I47">
        <v>3.5471596949035131</v>
      </c>
      <c r="J47">
        <v>2.0260537150390974</v>
      </c>
      <c r="K47">
        <v>4.6149556190486152</v>
      </c>
      <c r="L47">
        <v>-10.912065588777281</v>
      </c>
      <c r="M47">
        <v>6.3463238537670179</v>
      </c>
      <c r="N47">
        <v>4.9014795242806599</v>
      </c>
      <c r="O47">
        <v>3.0920682338691421</v>
      </c>
      <c r="P47">
        <v>3.4797078166552495</v>
      </c>
      <c r="Q47">
        <v>2.6738432931829266</v>
      </c>
      <c r="R47">
        <v>5.3556807791024283</v>
      </c>
      <c r="S47">
        <v>10.734262258031649</v>
      </c>
      <c r="T47">
        <v>11.245058775847113</v>
      </c>
      <c r="U47">
        <v>-5.4951383974418633</v>
      </c>
      <c r="V47">
        <v>13.739871523055143</v>
      </c>
      <c r="W47">
        <v>22.003004922966412</v>
      </c>
      <c r="X47">
        <v>6.0351187734680565</v>
      </c>
      <c r="Y47">
        <v>-1.965291668045495</v>
      </c>
      <c r="Z47">
        <v>17.082682248765153</v>
      </c>
      <c r="AA47">
        <v>7.5162026051388153</v>
      </c>
      <c r="AB47">
        <v>6.8668305654759223</v>
      </c>
      <c r="AC47">
        <v>7.4745725436230259</v>
      </c>
      <c r="AD47">
        <v>8.0631616712589107</v>
      </c>
      <c r="AE47">
        <v>6.7716630839766339</v>
      </c>
      <c r="AF47">
        <v>-2.1466502153600686</v>
      </c>
      <c r="AG47">
        <v>-7.8236319749102137</v>
      </c>
      <c r="AH47">
        <v>-1.819120511868249</v>
      </c>
      <c r="AI47">
        <v>-6.1056976460065613</v>
      </c>
      <c r="AJ47">
        <v>-3.8085993727931822</v>
      </c>
      <c r="AK47">
        <v>-3.1000032108191391</v>
      </c>
      <c r="AL47">
        <v>-7.9320665744753569</v>
      </c>
      <c r="AM47">
        <v>1.8768092258040383</v>
      </c>
      <c r="AN47">
        <v>2.8940013773969753</v>
      </c>
      <c r="AO47">
        <v>4.2150721495305845</v>
      </c>
      <c r="AP47">
        <v>4.5273137662503729</v>
      </c>
      <c r="AQ47">
        <v>4.7255348480256316</v>
      </c>
      <c r="AR47">
        <v>4.5113042214073147</v>
      </c>
      <c r="AS47">
        <v>3.8324177943061386</v>
      </c>
      <c r="AT47">
        <v>4.3242611922154879</v>
      </c>
      <c r="AU47">
        <v>4.4770268336915535</v>
      </c>
      <c r="AV47">
        <v>5.4531536888134724</v>
      </c>
      <c r="AW47">
        <v>7.0488628185837428</v>
      </c>
      <c r="AX47">
        <v>2.2282702092411739</v>
      </c>
      <c r="AY47">
        <v>3.8095832756613675</v>
      </c>
      <c r="AZ47">
        <v>4.3275890097287117</v>
      </c>
      <c r="BA47">
        <v>2.8476778892105017</v>
      </c>
      <c r="BB47">
        <v>2.5792517773875403</v>
      </c>
      <c r="BC47">
        <v>2.8990247212201439</v>
      </c>
      <c r="BD47">
        <v>3.3792112850604497</v>
      </c>
      <c r="BE47">
        <v>4.6259787220957094</v>
      </c>
      <c r="BF47">
        <v>4.9955291613078288</v>
      </c>
      <c r="BG47">
        <v>5.7198181450919776</v>
      </c>
      <c r="BH47">
        <v>5.6669529870393234</v>
      </c>
      <c r="BI47">
        <v>4.5357942367880071</v>
      </c>
      <c r="BJ47">
        <v>3.5411765492600722</v>
      </c>
      <c r="BK47">
        <v>3.955514238920486</v>
      </c>
      <c r="BL47">
        <v>3.475059981949812</v>
      </c>
      <c r="BM47">
        <v>0.25993291590711465</v>
      </c>
      <c r="BN47">
        <v>3.3388574717950519</v>
      </c>
      <c r="BO47">
        <v>3.5827963192605239</v>
      </c>
    </row>
    <row r="48" spans="1:67">
      <c r="A48" t="s">
        <v>870</v>
      </c>
      <c r="B48" t="s">
        <v>871</v>
      </c>
      <c r="C48" t="s">
        <v>784</v>
      </c>
      <c r="D48" t="s">
        <v>785</v>
      </c>
      <c r="F48">
        <v>-10.851376083633653</v>
      </c>
      <c r="G48">
        <v>21.200697514813299</v>
      </c>
      <c r="H48">
        <v>5.2139901343490038</v>
      </c>
      <c r="I48">
        <v>-2.4402235644914896</v>
      </c>
      <c r="J48">
        <v>0.99734879352743633</v>
      </c>
      <c r="K48">
        <v>6.7754853017218579</v>
      </c>
      <c r="L48">
        <v>-0.9857386614879573</v>
      </c>
      <c r="M48">
        <v>4.3326984640191739</v>
      </c>
      <c r="N48">
        <v>9.3288374385547996</v>
      </c>
      <c r="O48">
        <v>-0.24505657508628076</v>
      </c>
      <c r="P48">
        <v>6.0050180673755733</v>
      </c>
      <c r="Q48">
        <v>0.15113551378904333</v>
      </c>
      <c r="R48">
        <v>8.1372758874018558</v>
      </c>
      <c r="S48">
        <v>3.1305858792362073</v>
      </c>
      <c r="T48">
        <v>-4.9816310052538881</v>
      </c>
      <c r="U48">
        <v>-5.3090020809714105</v>
      </c>
      <c r="V48">
        <v>0.76079360155081588</v>
      </c>
      <c r="W48">
        <v>-5.3452915275624093</v>
      </c>
      <c r="X48">
        <v>0.43008826209265294</v>
      </c>
      <c r="Y48">
        <v>2.1949129236772791</v>
      </c>
      <c r="Z48">
        <v>2.3505240748609992</v>
      </c>
      <c r="AA48">
        <v>-0.45767760896157483</v>
      </c>
      <c r="AB48">
        <v>1.4117036882630174</v>
      </c>
      <c r="AC48">
        <v>5.5410740219699477</v>
      </c>
      <c r="AD48">
        <v>0.46785095094605822</v>
      </c>
      <c r="AE48">
        <v>4.7172096534085171</v>
      </c>
      <c r="AF48">
        <v>2.67564245126934</v>
      </c>
      <c r="AG48">
        <v>0.47038133674870153</v>
      </c>
      <c r="AH48">
        <v>-1.2660506356095453</v>
      </c>
      <c r="AI48">
        <v>-6.568310694642463</v>
      </c>
      <c r="AJ48">
        <v>-8.4210514991337675</v>
      </c>
      <c r="AK48">
        <v>-10.500008564647729</v>
      </c>
      <c r="AL48">
        <v>-13.469050538127945</v>
      </c>
      <c r="AM48">
        <v>-3.8999968031238694</v>
      </c>
      <c r="AN48">
        <v>0.69999882979439576</v>
      </c>
      <c r="AO48">
        <v>-1.0231726419992242</v>
      </c>
      <c r="AP48">
        <v>-5.6170465987008811</v>
      </c>
      <c r="AQ48">
        <v>-1.6241540447898899</v>
      </c>
      <c r="AR48">
        <v>-4.270140831133503</v>
      </c>
      <c r="AS48">
        <v>-6.9109273165210112</v>
      </c>
      <c r="AT48">
        <v>-2.1001730248884627</v>
      </c>
      <c r="AU48">
        <v>2.9477651835976673</v>
      </c>
      <c r="AV48">
        <v>5.5778223114442369</v>
      </c>
      <c r="AW48">
        <v>6.73837393324294</v>
      </c>
      <c r="AX48">
        <v>6.1351511554897229</v>
      </c>
      <c r="AY48">
        <v>5.3209795654899779</v>
      </c>
      <c r="AZ48">
        <v>6.259477764373969</v>
      </c>
      <c r="BA48">
        <v>6.2258942686919312</v>
      </c>
      <c r="BB48">
        <v>2.8550640101148446</v>
      </c>
      <c r="BC48">
        <v>7.1079765758139217</v>
      </c>
      <c r="BD48">
        <v>6.8746708900163043</v>
      </c>
      <c r="BE48">
        <v>7.0868989467194154</v>
      </c>
      <c r="BF48">
        <v>8.4819566360875456</v>
      </c>
      <c r="BG48">
        <v>9.4702880993100962</v>
      </c>
      <c r="BH48">
        <v>6.9161671192256051</v>
      </c>
      <c r="BI48">
        <v>2.3993989113345151</v>
      </c>
      <c r="BJ48">
        <v>3.7269476588300989</v>
      </c>
      <c r="BK48">
        <v>5.8211210996902452</v>
      </c>
      <c r="BL48">
        <v>4.3845288742983399</v>
      </c>
      <c r="BM48">
        <v>1.7354227668149349</v>
      </c>
      <c r="BN48">
        <v>6.2001540107594622</v>
      </c>
      <c r="BO48">
        <v>8.924447625631089</v>
      </c>
    </row>
    <row r="49" spans="1:67">
      <c r="A49" t="s">
        <v>872</v>
      </c>
      <c r="B49" t="s">
        <v>873</v>
      </c>
      <c r="C49" t="s">
        <v>784</v>
      </c>
      <c r="D49" t="s">
        <v>785</v>
      </c>
      <c r="F49">
        <v>8.3507267242779903</v>
      </c>
      <c r="G49">
        <v>5.2023087879742747</v>
      </c>
      <c r="H49">
        <v>-4.0293003979880382</v>
      </c>
      <c r="I49">
        <v>3.8167962684232606</v>
      </c>
      <c r="J49">
        <v>3.6764677364912473</v>
      </c>
      <c r="K49">
        <v>1.3589824623200428</v>
      </c>
      <c r="L49">
        <v>2.1162720567140809</v>
      </c>
      <c r="M49">
        <v>7.6313262387509297</v>
      </c>
      <c r="N49">
        <v>7.5485251946646486</v>
      </c>
      <c r="O49">
        <v>6.3584701869665849</v>
      </c>
      <c r="P49">
        <v>7.7530358530852368</v>
      </c>
      <c r="Q49">
        <v>8.6175508448411762</v>
      </c>
      <c r="R49">
        <v>8.231188946412999</v>
      </c>
      <c r="S49">
        <v>7.8855208111349384</v>
      </c>
      <c r="T49">
        <v>7.7315968336494052</v>
      </c>
      <c r="U49">
        <v>0.91628675110368363</v>
      </c>
      <c r="V49">
        <v>-8.953427980381818</v>
      </c>
      <c r="W49">
        <v>6.3597470112114962</v>
      </c>
      <c r="X49">
        <v>9.8132247380940214</v>
      </c>
      <c r="Y49">
        <v>17.63660548276107</v>
      </c>
      <c r="Z49">
        <v>17.619722470156745</v>
      </c>
      <c r="AA49">
        <v>23.597699960149171</v>
      </c>
      <c r="AB49">
        <v>5.85396283993704</v>
      </c>
      <c r="AC49">
        <v>6.9761310544813995</v>
      </c>
      <c r="AD49">
        <v>-1.1856608543253344</v>
      </c>
      <c r="AE49">
        <v>-6.8615264366519284</v>
      </c>
      <c r="AF49">
        <v>0.18937664036890567</v>
      </c>
      <c r="AG49">
        <v>1.7662634284723424</v>
      </c>
      <c r="AH49">
        <v>2.5998765181449102</v>
      </c>
      <c r="AI49">
        <v>1.0000035662748701</v>
      </c>
      <c r="AJ49">
        <v>2.3953674525561581</v>
      </c>
      <c r="AK49">
        <v>2.6119480553387149</v>
      </c>
      <c r="AL49">
        <v>-0.97968320874477399</v>
      </c>
      <c r="AM49">
        <v>-5.4930757454140178</v>
      </c>
      <c r="AN49">
        <v>3.9853243781107039</v>
      </c>
      <c r="AO49">
        <v>4.2904815587040162</v>
      </c>
      <c r="AP49">
        <v>-0.6248121522607164</v>
      </c>
      <c r="AQ49">
        <v>3.7375527698088433</v>
      </c>
      <c r="AR49">
        <v>-2.5821993581374301</v>
      </c>
      <c r="AS49">
        <v>7.575980395264196</v>
      </c>
      <c r="AT49">
        <v>3.8026018991356096</v>
      </c>
      <c r="AU49">
        <v>4.5818700610888925</v>
      </c>
      <c r="AV49">
        <v>0.81326407630378128</v>
      </c>
      <c r="AW49">
        <v>3.4766316211808856</v>
      </c>
      <c r="AX49">
        <v>7.7557589780664813</v>
      </c>
      <c r="AY49">
        <v>7.9862383633429062</v>
      </c>
      <c r="AZ49">
        <v>-6.6139948044100123</v>
      </c>
      <c r="BA49">
        <v>6.3063759558525874</v>
      </c>
      <c r="BB49">
        <v>11.637288861575755</v>
      </c>
      <c r="BC49">
        <v>9.9312654309557757</v>
      </c>
      <c r="BD49">
        <v>2.2059193628671778</v>
      </c>
      <c r="BE49">
        <v>9.9471531425756439</v>
      </c>
      <c r="BF49">
        <v>-0.71243445187644738</v>
      </c>
      <c r="BG49">
        <v>6.6460654092844749</v>
      </c>
      <c r="BH49">
        <v>0.41519306129376332</v>
      </c>
      <c r="BI49">
        <v>-8.6852434391378637</v>
      </c>
      <c r="BJ49">
        <v>-5.5947737191554694</v>
      </c>
      <c r="BK49">
        <v>-2.3043178012584207</v>
      </c>
      <c r="BL49">
        <v>1.124477073638829</v>
      </c>
      <c r="BM49">
        <v>-6.2677779958188751</v>
      </c>
      <c r="BN49">
        <v>1.0150709660773174</v>
      </c>
      <c r="BO49">
        <v>1.4753569462049256</v>
      </c>
    </row>
    <row r="50" spans="1:67">
      <c r="A50" t="s">
        <v>874</v>
      </c>
      <c r="B50" t="s">
        <v>875</v>
      </c>
      <c r="C50" t="s">
        <v>784</v>
      </c>
      <c r="D50" t="s">
        <v>785</v>
      </c>
      <c r="F50">
        <v>5.0892169843910722</v>
      </c>
      <c r="G50">
        <v>5.4118896134204704</v>
      </c>
      <c r="H50">
        <v>3.2867075540710147</v>
      </c>
      <c r="I50">
        <v>6.1669413235072312</v>
      </c>
      <c r="J50">
        <v>3.600011389837718</v>
      </c>
      <c r="K50">
        <v>5.2367358622945233</v>
      </c>
      <c r="L50">
        <v>4.1348641657985752</v>
      </c>
      <c r="M50">
        <v>5.9331179987828904</v>
      </c>
      <c r="N50">
        <v>6.1025173087333258</v>
      </c>
      <c r="O50">
        <v>6.2077969612769834</v>
      </c>
      <c r="P50">
        <v>5.960727946290703</v>
      </c>
      <c r="Q50">
        <v>7.6691475444009711</v>
      </c>
      <c r="R50">
        <v>6.7229549691913348</v>
      </c>
      <c r="S50">
        <v>5.7457571891214059</v>
      </c>
      <c r="T50">
        <v>2.3232552811579552</v>
      </c>
      <c r="U50">
        <v>4.7283687345395009</v>
      </c>
      <c r="V50">
        <v>4.158505453464187</v>
      </c>
      <c r="W50">
        <v>8.4699008376688028</v>
      </c>
      <c r="X50">
        <v>5.379118988202066</v>
      </c>
      <c r="Y50">
        <v>4.0873536755076714</v>
      </c>
      <c r="Z50">
        <v>2.2768727451217785</v>
      </c>
      <c r="AA50">
        <v>0.94842078660451534</v>
      </c>
      <c r="AB50">
        <v>1.57395603843689</v>
      </c>
      <c r="AC50">
        <v>3.3506837394070601</v>
      </c>
      <c r="AD50">
        <v>3.1071061957295996</v>
      </c>
      <c r="AE50">
        <v>5.8240761374586612</v>
      </c>
      <c r="AF50">
        <v>5.3689321482132328</v>
      </c>
      <c r="AG50">
        <v>4.0641732449037562</v>
      </c>
      <c r="AH50">
        <v>3.4140961096659623</v>
      </c>
      <c r="AI50">
        <v>4.281998330530584</v>
      </c>
      <c r="AJ50">
        <v>2.0016075955902863</v>
      </c>
      <c r="AK50">
        <v>4.0449294393355615</v>
      </c>
      <c r="AL50">
        <v>5.3854099390102874</v>
      </c>
      <c r="AM50">
        <v>5.8146619072433623</v>
      </c>
      <c r="AN50">
        <v>5.202437592786552</v>
      </c>
      <c r="AO50">
        <v>2.0558547128719482</v>
      </c>
      <c r="AP50">
        <v>3.4302936778837392</v>
      </c>
      <c r="AQ50">
        <v>0.56978408843451689</v>
      </c>
      <c r="AR50">
        <v>-4.2040152424494721</v>
      </c>
      <c r="AS50">
        <v>2.9248614817677776</v>
      </c>
      <c r="AT50">
        <v>1.6778983078757932</v>
      </c>
      <c r="AU50">
        <v>2.5039804665965875</v>
      </c>
      <c r="AV50">
        <v>3.9182719032251327</v>
      </c>
      <c r="AW50">
        <v>5.3330220675990461</v>
      </c>
      <c r="AX50">
        <v>4.8287611077374066</v>
      </c>
      <c r="AY50">
        <v>6.7168686984440171</v>
      </c>
      <c r="AZ50">
        <v>6.7381946909097508</v>
      </c>
      <c r="BA50">
        <v>3.2834461861654063</v>
      </c>
      <c r="BB50">
        <v>1.1396486454806194</v>
      </c>
      <c r="BC50">
        <v>4.4946589707092244</v>
      </c>
      <c r="BD50">
        <v>6.9478919817355518</v>
      </c>
      <c r="BE50">
        <v>3.9126357671611487</v>
      </c>
      <c r="BF50">
        <v>5.1339935199567179</v>
      </c>
      <c r="BG50">
        <v>4.4990300011097162</v>
      </c>
      <c r="BH50">
        <v>2.9559013752752321</v>
      </c>
      <c r="BI50">
        <v>2.0873825016279426</v>
      </c>
      <c r="BJ50">
        <v>1.3593608678874602</v>
      </c>
      <c r="BK50">
        <v>2.5643242827770365</v>
      </c>
      <c r="BL50">
        <v>3.1868553924553282</v>
      </c>
      <c r="BM50">
        <v>-7.2522990749230587</v>
      </c>
      <c r="BN50">
        <v>11.016193266977851</v>
      </c>
      <c r="BO50">
        <v>7.2565628739360335</v>
      </c>
    </row>
    <row r="51" spans="1:67">
      <c r="A51" t="s">
        <v>876</v>
      </c>
      <c r="B51" t="s">
        <v>877</v>
      </c>
      <c r="C51" t="s">
        <v>784</v>
      </c>
      <c r="D51" t="s">
        <v>785</v>
      </c>
      <c r="Z51">
        <v>3.8649289569117542</v>
      </c>
      <c r="AA51">
        <v>6.3833170098831005</v>
      </c>
      <c r="AB51">
        <v>4.8214018831265832</v>
      </c>
      <c r="AC51">
        <v>4.1102999885935816</v>
      </c>
      <c r="AD51">
        <v>2.2799607772245025</v>
      </c>
      <c r="AE51">
        <v>1.8676121665265129</v>
      </c>
      <c r="AF51">
        <v>1.6377841805295503</v>
      </c>
      <c r="AG51">
        <v>2.6873794041725461</v>
      </c>
      <c r="AH51">
        <v>-3.1802565161758451</v>
      </c>
      <c r="AI51">
        <v>5.0912364133969561</v>
      </c>
      <c r="AJ51">
        <v>-5.3956371486003434</v>
      </c>
      <c r="AK51">
        <v>8.530981787732884</v>
      </c>
      <c r="AL51">
        <v>3.0060613074486042</v>
      </c>
      <c r="AM51">
        <v>-5.2767829974486773</v>
      </c>
      <c r="AN51">
        <v>3.6102064316531681</v>
      </c>
      <c r="AO51">
        <v>-1.2916889262001092</v>
      </c>
      <c r="AP51">
        <v>4.0301536677297918</v>
      </c>
      <c r="AQ51">
        <v>1.2825157933853575</v>
      </c>
      <c r="AR51">
        <v>1.9244087121229541</v>
      </c>
      <c r="AS51">
        <v>10.847878616072038</v>
      </c>
      <c r="AT51">
        <v>2.332907101828738</v>
      </c>
      <c r="AU51">
        <v>2.3249448613997998</v>
      </c>
      <c r="AV51">
        <v>2.1038716355304956</v>
      </c>
      <c r="AW51">
        <v>1.9196598071227839</v>
      </c>
      <c r="AX51">
        <v>2.8375478698833234</v>
      </c>
      <c r="AY51">
        <v>2.6469554759411977</v>
      </c>
      <c r="AZ51">
        <v>0.80004234895538673</v>
      </c>
      <c r="BA51">
        <v>3.9646111887181519</v>
      </c>
      <c r="BB51">
        <v>3.2407407282682925</v>
      </c>
      <c r="BC51">
        <v>3.7777667498225469</v>
      </c>
      <c r="BD51">
        <v>4.1435066947590968</v>
      </c>
      <c r="BE51">
        <v>3.1684098690874833</v>
      </c>
      <c r="BF51">
        <v>4.4662473147817963</v>
      </c>
      <c r="BG51">
        <v>2.1066575894247421</v>
      </c>
      <c r="BH51">
        <v>1.1473507610891431</v>
      </c>
      <c r="BI51">
        <v>3.3204465624002637</v>
      </c>
      <c r="BJ51">
        <v>3.8157628768240102</v>
      </c>
      <c r="BK51">
        <v>3.6424511379731968</v>
      </c>
      <c r="BL51">
        <v>1.7607802392317637</v>
      </c>
      <c r="BM51">
        <v>-0.19555682714978673</v>
      </c>
      <c r="BN51">
        <v>2.1121955769552727</v>
      </c>
      <c r="BO51">
        <v>2.3876784852420201</v>
      </c>
    </row>
    <row r="52" spans="1:67">
      <c r="A52" t="s">
        <v>878</v>
      </c>
      <c r="B52" t="s">
        <v>879</v>
      </c>
      <c r="C52" t="s">
        <v>784</v>
      </c>
      <c r="D52" t="s">
        <v>785</v>
      </c>
      <c r="Z52">
        <v>8.4515624118239714</v>
      </c>
      <c r="AA52">
        <v>2.8250300827660055</v>
      </c>
      <c r="AB52">
        <v>9.5207497525743747</v>
      </c>
      <c r="AC52">
        <v>3.7832706814030246</v>
      </c>
      <c r="AD52">
        <v>8.6420866167092925</v>
      </c>
      <c r="AE52">
        <v>2.8714554245115664</v>
      </c>
      <c r="AF52">
        <v>4.3090637286519211</v>
      </c>
      <c r="AG52">
        <v>5.9968549154658035</v>
      </c>
      <c r="AH52">
        <v>5.6979493665959069</v>
      </c>
      <c r="AI52">
        <v>0.69217187434129812</v>
      </c>
      <c r="AJ52">
        <v>1.4041469810214693</v>
      </c>
      <c r="AK52">
        <v>10.937646989522136</v>
      </c>
      <c r="AL52">
        <v>8.7083115656896126</v>
      </c>
      <c r="AM52">
        <v>19.182641631814448</v>
      </c>
      <c r="AN52">
        <v>14.21163624696338</v>
      </c>
      <c r="AO52">
        <v>11.346524764217449</v>
      </c>
      <c r="AP52">
        <v>11.118426058375647</v>
      </c>
      <c r="AQ52">
        <v>12.517285787988357</v>
      </c>
      <c r="AR52">
        <v>11.222648445535114</v>
      </c>
      <c r="AS52">
        <v>14.284868845091879</v>
      </c>
      <c r="AT52">
        <v>2.2316545452889756</v>
      </c>
      <c r="AU52">
        <v>5.250891169602113</v>
      </c>
      <c r="AV52">
        <v>4.1762593257833203</v>
      </c>
      <c r="AW52">
        <v>10.197072633926041</v>
      </c>
      <c r="AX52">
        <v>6.9124579572020082</v>
      </c>
      <c r="AY52">
        <v>7.9837504479504844</v>
      </c>
      <c r="AZ52">
        <v>15.170687973551679</v>
      </c>
      <c r="BA52">
        <v>7.039011295651278</v>
      </c>
      <c r="BB52">
        <v>-1.5035867238567846</v>
      </c>
      <c r="BC52">
        <v>1.8364191498997826</v>
      </c>
      <c r="BD52">
        <v>3.9247182133828318</v>
      </c>
      <c r="BE52">
        <v>1.0836484837616638</v>
      </c>
      <c r="BF52">
        <v>0.63213672738513083</v>
      </c>
      <c r="BG52">
        <v>0.69666684011858138</v>
      </c>
      <c r="BH52">
        <v>0.93602650780883323</v>
      </c>
      <c r="BI52">
        <v>4.2807148266237078</v>
      </c>
      <c r="BJ52">
        <v>4.5513148102973986</v>
      </c>
      <c r="BK52">
        <v>3.7069645831084159</v>
      </c>
      <c r="BL52">
        <v>6.9478263405185885</v>
      </c>
      <c r="BM52">
        <v>-20.805275899073521</v>
      </c>
      <c r="BN52">
        <v>5.6150826271760081</v>
      </c>
      <c r="BO52">
        <v>17.116790657369037</v>
      </c>
    </row>
    <row r="53" spans="1:67">
      <c r="A53" t="s">
        <v>880</v>
      </c>
      <c r="B53" t="s">
        <v>881</v>
      </c>
      <c r="C53" t="s">
        <v>784</v>
      </c>
      <c r="D53" t="s">
        <v>785</v>
      </c>
      <c r="F53">
        <v>1.8792765563641041</v>
      </c>
      <c r="G53">
        <v>5.4423913752823694</v>
      </c>
      <c r="H53">
        <v>6.8989234420091776</v>
      </c>
      <c r="I53">
        <v>3.6590483141401506</v>
      </c>
      <c r="J53">
        <v>8.1905275942480955</v>
      </c>
      <c r="K53">
        <v>6.9693190309674264</v>
      </c>
      <c r="L53">
        <v>5.6501259203840704</v>
      </c>
      <c r="M53">
        <v>8.4733043469946239</v>
      </c>
      <c r="N53">
        <v>5.4917999425584014</v>
      </c>
      <c r="O53">
        <v>7.5031343433506379</v>
      </c>
      <c r="P53">
        <v>6.7785054264219298</v>
      </c>
      <c r="Q53">
        <v>8.1780451335151838</v>
      </c>
      <c r="R53">
        <v>7.7089158119124619</v>
      </c>
      <c r="S53">
        <v>5.5448999909711176</v>
      </c>
      <c r="T53">
        <v>2.1000710494849244</v>
      </c>
      <c r="U53">
        <v>5.5175644029558839</v>
      </c>
      <c r="V53">
        <v>8.9044744315517335</v>
      </c>
      <c r="W53">
        <v>6.2676868244255957</v>
      </c>
      <c r="X53">
        <v>4.9391239549831312</v>
      </c>
      <c r="Y53">
        <v>0.75189540332631566</v>
      </c>
      <c r="Z53">
        <v>-2.261655507296652</v>
      </c>
      <c r="AA53">
        <v>-7.2855688466617892</v>
      </c>
      <c r="AB53">
        <v>2.8629927023946351</v>
      </c>
      <c r="AC53">
        <v>8.0241079073032608</v>
      </c>
      <c r="AD53">
        <v>0.72160172926830057</v>
      </c>
      <c r="AE53">
        <v>5.5362508431568926</v>
      </c>
      <c r="AF53">
        <v>4.7645332796949731</v>
      </c>
      <c r="AG53">
        <v>3.43214737968853</v>
      </c>
      <c r="AH53">
        <v>5.6659755487129928</v>
      </c>
      <c r="AI53">
        <v>3.5530633657228492</v>
      </c>
      <c r="AJ53">
        <v>2.2656549885171415</v>
      </c>
      <c r="AK53">
        <v>9.2011037369530015</v>
      </c>
      <c r="AL53">
        <v>7.0971912320189716</v>
      </c>
      <c r="AM53">
        <v>4.51902837857196</v>
      </c>
      <c r="AN53">
        <v>4.1539530484157723</v>
      </c>
      <c r="AO53">
        <v>1.3504595346280297</v>
      </c>
      <c r="AP53">
        <v>5.476165774811804</v>
      </c>
      <c r="AQ53">
        <v>7.1553085783890253</v>
      </c>
      <c r="AR53">
        <v>4.2148111676896889</v>
      </c>
      <c r="AS53">
        <v>3.8687180912547916</v>
      </c>
      <c r="AT53">
        <v>3.4911698708803129</v>
      </c>
      <c r="AU53">
        <v>3.4168763894479639</v>
      </c>
      <c r="AV53">
        <v>4.3171798644703614</v>
      </c>
      <c r="AW53">
        <v>4.4245995983621071</v>
      </c>
      <c r="AX53">
        <v>3.9766663684519585</v>
      </c>
      <c r="AY53">
        <v>7.3266954321839819</v>
      </c>
      <c r="AZ53">
        <v>8.2151319844024897</v>
      </c>
      <c r="BA53">
        <v>4.7381748770947354</v>
      </c>
      <c r="BB53">
        <v>-0.87345594081205036</v>
      </c>
      <c r="BC53">
        <v>5.3603434769434131</v>
      </c>
      <c r="BD53">
        <v>4.4031592393571657</v>
      </c>
      <c r="BE53">
        <v>4.8825924103107923</v>
      </c>
      <c r="BF53">
        <v>2.4947661138637471</v>
      </c>
      <c r="BG53">
        <v>3.5421098759398575</v>
      </c>
      <c r="BH53">
        <v>3.6520809680647233</v>
      </c>
      <c r="BI53">
        <v>4.2043232543270932</v>
      </c>
      <c r="BJ53">
        <v>4.1576989623945906</v>
      </c>
      <c r="BK53">
        <v>2.6159044028515552</v>
      </c>
      <c r="BL53">
        <v>2.4175118170644936</v>
      </c>
      <c r="BM53">
        <v>-4.2733543205419409</v>
      </c>
      <c r="BN53">
        <v>7.9357622470386531</v>
      </c>
      <c r="BO53">
        <v>4.5514917796238166</v>
      </c>
    </row>
    <row r="54" spans="1:67">
      <c r="A54" t="s">
        <v>882</v>
      </c>
      <c r="B54" t="s">
        <v>883</v>
      </c>
      <c r="C54" t="s">
        <v>784</v>
      </c>
      <c r="D54" t="s">
        <v>785</v>
      </c>
      <c r="F54">
        <v>10.09479225127221</v>
      </c>
      <c r="G54">
        <v>4.5895408777171838</v>
      </c>
      <c r="H54">
        <v>3.7618964777133641</v>
      </c>
      <c r="I54">
        <v>8.7294714743862301</v>
      </c>
      <c r="J54">
        <v>6.2394919051216249</v>
      </c>
      <c r="K54">
        <v>7.4840780174656061</v>
      </c>
      <c r="L54">
        <v>4.4476089214292358</v>
      </c>
      <c r="M54">
        <v>5.9149247239636225</v>
      </c>
      <c r="N54">
        <v>5.5974134179016488</v>
      </c>
      <c r="O54">
        <v>4.5057097058327997</v>
      </c>
      <c r="P54">
        <v>2.1656679461136576</v>
      </c>
      <c r="Q54">
        <v>7.2502286070924953</v>
      </c>
      <c r="R54">
        <v>-0.60336063448720267</v>
      </c>
      <c r="S54">
        <v>-3.1747382933650101</v>
      </c>
      <c r="T54">
        <v>-1.2070773499489462</v>
      </c>
      <c r="U54">
        <v>1.2030797700437432</v>
      </c>
      <c r="V54">
        <v>3.8267018694668735</v>
      </c>
      <c r="W54">
        <v>5.756503326238942</v>
      </c>
      <c r="X54">
        <v>5.1755946821494092</v>
      </c>
      <c r="Y54">
        <v>2.4674000060136905</v>
      </c>
      <c r="Z54">
        <v>0.95221372217073963</v>
      </c>
      <c r="AA54">
        <v>1.01360496067349</v>
      </c>
      <c r="AB54">
        <v>-2.376891813012378</v>
      </c>
      <c r="AC54">
        <v>1.0162162426180288</v>
      </c>
      <c r="AD54">
        <v>0.10213131516391627</v>
      </c>
      <c r="AE54">
        <v>1.3740376020374185</v>
      </c>
      <c r="AF54">
        <v>1.902557264538828</v>
      </c>
      <c r="AG54">
        <v>2.2370467610459173</v>
      </c>
      <c r="AH54">
        <v>4.1959548576173944</v>
      </c>
      <c r="AI54">
        <v>0.91306558106707314</v>
      </c>
      <c r="AJ54">
        <v>1.3764282977163873</v>
      </c>
      <c r="AK54">
        <v>2.2270498430332282</v>
      </c>
      <c r="AL54">
        <v>2.9577366609349696</v>
      </c>
      <c r="AM54">
        <v>2.7909825870896725</v>
      </c>
      <c r="AN54">
        <v>2.8917663170020944</v>
      </c>
      <c r="AO54">
        <v>3.4725850137593568</v>
      </c>
      <c r="AP54">
        <v>2.9939655401498726</v>
      </c>
      <c r="AQ54">
        <v>2.9889561859144607</v>
      </c>
      <c r="AR54">
        <v>4.1505366543340187</v>
      </c>
      <c r="AS54">
        <v>3.7509430171933928</v>
      </c>
      <c r="AT54">
        <v>2.0231044075144382</v>
      </c>
      <c r="AU54">
        <v>3.5858712896862102</v>
      </c>
      <c r="AV54">
        <v>5.614151563348031</v>
      </c>
      <c r="AW54">
        <v>3.9471935961021103</v>
      </c>
      <c r="AX54">
        <v>3.6133583426400975</v>
      </c>
      <c r="AY54">
        <v>6.7860373308305242</v>
      </c>
      <c r="AZ54">
        <v>3.3758636173243985</v>
      </c>
      <c r="BA54">
        <v>1.1966414085083983</v>
      </c>
      <c r="BB54">
        <v>-3.5594929973212288</v>
      </c>
      <c r="BC54">
        <v>1.2653097323759539</v>
      </c>
      <c r="BD54">
        <v>1.0391098497159419</v>
      </c>
      <c r="BE54">
        <v>3.4305403669735171</v>
      </c>
      <c r="BF54">
        <v>1.3820408001166413</v>
      </c>
      <c r="BG54">
        <v>2.3030701392808623</v>
      </c>
      <c r="BH54">
        <v>0.20824245506732098</v>
      </c>
      <c r="BI54">
        <v>-2.1837814000433298</v>
      </c>
      <c r="BJ54">
        <v>-0.56251528999678158</v>
      </c>
      <c r="BK54">
        <v>1.6047537090627486</v>
      </c>
      <c r="BL54">
        <v>0.89742947237110116</v>
      </c>
      <c r="BM54">
        <v>-9.6499451439275674</v>
      </c>
      <c r="BN54">
        <v>5.8789793520202807</v>
      </c>
      <c r="BO54">
        <v>13.21720542160665</v>
      </c>
    </row>
    <row r="55" spans="1:67">
      <c r="A55" t="s">
        <v>884</v>
      </c>
      <c r="B55" t="s">
        <v>885</v>
      </c>
      <c r="C55" t="s">
        <v>784</v>
      </c>
      <c r="D55" t="s">
        <v>785</v>
      </c>
      <c r="P55">
        <v>8.5838590116362923</v>
      </c>
      <c r="Q55">
        <v>4.8266858431392734</v>
      </c>
      <c r="R55">
        <v>3.4344885358243715</v>
      </c>
      <c r="S55">
        <v>0.98449181576086175</v>
      </c>
      <c r="T55">
        <v>9.4764260691593449</v>
      </c>
      <c r="U55">
        <v>5.4279604586731978</v>
      </c>
      <c r="V55">
        <v>8.7095028615293018</v>
      </c>
      <c r="W55">
        <v>6.5959985633749341</v>
      </c>
      <c r="X55">
        <v>1.0881833017315472</v>
      </c>
      <c r="Y55">
        <v>-4.8494429508855461</v>
      </c>
      <c r="Z55">
        <v>19.688334333744933</v>
      </c>
      <c r="AA55">
        <v>8.9182349649307184</v>
      </c>
      <c r="AB55">
        <v>5.4114707238346966</v>
      </c>
      <c r="AC55">
        <v>7.9297165151338334</v>
      </c>
      <c r="AD55">
        <v>1.5966745980786641</v>
      </c>
      <c r="AE55">
        <v>9.5303385646758443E-2</v>
      </c>
      <c r="AF55">
        <v>-2.4021725377980374</v>
      </c>
      <c r="AG55">
        <v>3.7055399090553749</v>
      </c>
      <c r="AH55">
        <v>0.68008323315407893</v>
      </c>
      <c r="AI55">
        <v>-2.948564945033894</v>
      </c>
      <c r="AJ55">
        <v>-10.692697108488431</v>
      </c>
      <c r="AK55">
        <v>-11.580603081269771</v>
      </c>
      <c r="AL55">
        <v>-14.878180694759465</v>
      </c>
      <c r="AM55">
        <v>0.71693031041679944</v>
      </c>
      <c r="AN55">
        <v>2.4572011724368679</v>
      </c>
      <c r="AO55">
        <v>7.8387497973127438</v>
      </c>
      <c r="AP55">
        <v>2.7834250595713428</v>
      </c>
      <c r="AQ55">
        <v>0.15914605015852601</v>
      </c>
      <c r="AR55">
        <v>6.1887553068505952</v>
      </c>
      <c r="AS55">
        <v>5.9147600187971818</v>
      </c>
      <c r="AT55">
        <v>3.1850299044946127</v>
      </c>
      <c r="AU55">
        <v>1.4248212614128164</v>
      </c>
      <c r="AV55">
        <v>3.7927402230433387</v>
      </c>
      <c r="AW55">
        <v>5.7705380702155935</v>
      </c>
      <c r="AX55">
        <v>11.201656556127944</v>
      </c>
      <c r="AY55">
        <v>12.065862977733644</v>
      </c>
      <c r="AZ55">
        <v>7.2621369664794315</v>
      </c>
      <c r="BA55">
        <v>4.1168280416468122</v>
      </c>
      <c r="BB55">
        <v>1.4513054307407032</v>
      </c>
      <c r="BC55">
        <v>2.3903522965072312</v>
      </c>
      <c r="BD55">
        <v>2.8023008364762632</v>
      </c>
      <c r="BE55">
        <v>3.0149002889877181</v>
      </c>
      <c r="BF55">
        <v>2.7476025625721121</v>
      </c>
      <c r="BG55">
        <v>1.047576631876538</v>
      </c>
      <c r="BH55">
        <v>4.4383335888394981</v>
      </c>
      <c r="BI55">
        <v>0.51284309570074527</v>
      </c>
      <c r="BJ55">
        <v>1.8097917721228356</v>
      </c>
      <c r="BK55">
        <v>2.2479485408623248</v>
      </c>
      <c r="BL55">
        <v>-0.16308722360662387</v>
      </c>
      <c r="BM55">
        <v>-10.94908460488621</v>
      </c>
      <c r="BN55">
        <v>1.2536934250131111</v>
      </c>
      <c r="BO55">
        <v>1.7748539948338191</v>
      </c>
    </row>
    <row r="56" spans="1:67">
      <c r="A56" t="s">
        <v>886</v>
      </c>
      <c r="B56" t="s">
        <v>887</v>
      </c>
      <c r="C56" t="s">
        <v>784</v>
      </c>
      <c r="D56" t="s">
        <v>785</v>
      </c>
      <c r="AT56">
        <v>-0.69575370409805259</v>
      </c>
      <c r="AU56">
        <v>0.39706521676363593</v>
      </c>
      <c r="AV56">
        <v>0.28818668165175154</v>
      </c>
      <c r="AW56">
        <v>0.20846107310936191</v>
      </c>
      <c r="AX56">
        <v>0.67642534520166464</v>
      </c>
      <c r="AY56">
        <v>1.6359346898703535</v>
      </c>
      <c r="AZ56">
        <v>2.4699632283678739</v>
      </c>
      <c r="BA56">
        <v>2.1880430801916759</v>
      </c>
      <c r="BB56">
        <v>-0.5313082423381843</v>
      </c>
      <c r="BC56">
        <v>8.2306608813141224E-2</v>
      </c>
      <c r="BD56">
        <v>0.50845757241437184</v>
      </c>
      <c r="BE56">
        <v>-0.34895035717111966</v>
      </c>
      <c r="BF56">
        <v>-0.63569664789342539</v>
      </c>
      <c r="BG56">
        <v>-0.63739834519081739</v>
      </c>
      <c r="BH56">
        <v>0.45815174597593966</v>
      </c>
      <c r="BI56">
        <v>-1.0677076995746404</v>
      </c>
      <c r="BJ56">
        <v>-1.2762093153749277</v>
      </c>
      <c r="BK56">
        <v>-2.1041114299448367</v>
      </c>
      <c r="BL56">
        <v>-3.2061317190254925</v>
      </c>
      <c r="BM56">
        <v>-18.038458638066174</v>
      </c>
      <c r="BN56">
        <v>4.1837119305354378</v>
      </c>
      <c r="BO56">
        <v>7.8900000000001569</v>
      </c>
    </row>
    <row r="57" spans="1:67">
      <c r="A57" t="s">
        <v>888</v>
      </c>
      <c r="B57" t="s">
        <v>889</v>
      </c>
      <c r="C57" t="s">
        <v>784</v>
      </c>
      <c r="D57" t="s">
        <v>785</v>
      </c>
      <c r="AZ57">
        <v>3.162625226527993</v>
      </c>
      <c r="BA57">
        <v>-0.35740120109298346</v>
      </c>
      <c r="BB57">
        <v>-7.2004824466470581</v>
      </c>
      <c r="BC57">
        <v>-2.7156352621757662</v>
      </c>
      <c r="BD57">
        <v>1.1690621983910603</v>
      </c>
      <c r="BE57">
        <v>1.2297536570114858</v>
      </c>
      <c r="BF57">
        <v>1.2793310199902095</v>
      </c>
      <c r="BG57">
        <v>2.6545279845127112</v>
      </c>
      <c r="BH57">
        <v>2.8331222262960978</v>
      </c>
      <c r="BI57">
        <v>3.2399743389566851</v>
      </c>
      <c r="BJ57">
        <v>3.1840459233452236</v>
      </c>
      <c r="BK57">
        <v>4.2672674524964123</v>
      </c>
      <c r="BL57">
        <v>3.9156353424941557</v>
      </c>
      <c r="BM57">
        <v>-5.1081339633465035</v>
      </c>
      <c r="BN57">
        <v>4.0286638585076702</v>
      </c>
      <c r="BO57">
        <v>3.6745174026824259</v>
      </c>
    </row>
    <row r="58" spans="1:67">
      <c r="A58" t="s">
        <v>890</v>
      </c>
      <c r="B58" t="s">
        <v>891</v>
      </c>
      <c r="C58" t="s">
        <v>784</v>
      </c>
      <c r="D58" t="s">
        <v>785</v>
      </c>
      <c r="U58">
        <v>20.266292187461261</v>
      </c>
      <c r="V58">
        <v>16.362000949882358</v>
      </c>
      <c r="W58">
        <v>7.7774033611972726</v>
      </c>
      <c r="X58">
        <v>9.9055693822456874</v>
      </c>
      <c r="Y58">
        <v>5.7532447016821067</v>
      </c>
      <c r="Z58">
        <v>2.5169984409868249</v>
      </c>
      <c r="AA58">
        <v>6.0217089851666543</v>
      </c>
      <c r="AB58">
        <v>5.5821817019592288</v>
      </c>
      <c r="AC58">
        <v>8.7578943828717826</v>
      </c>
      <c r="AD58">
        <v>4.8825407728628818</v>
      </c>
      <c r="AE58">
        <v>3.7039502887879365</v>
      </c>
      <c r="AF58">
        <v>7.0652508132071716</v>
      </c>
      <c r="AG58">
        <v>8.6467778444110337</v>
      </c>
      <c r="AH58">
        <v>7.9474255316861502</v>
      </c>
      <c r="AI58">
        <v>7.4039995065901252</v>
      </c>
      <c r="AJ58">
        <v>0.73950120204267478</v>
      </c>
      <c r="AK58">
        <v>9.3999990163170253</v>
      </c>
      <c r="AL58">
        <v>0.70000048814537763</v>
      </c>
      <c r="AM58">
        <v>5.8999987009449342</v>
      </c>
      <c r="AN58">
        <v>8.3624693046656944</v>
      </c>
      <c r="AO58">
        <v>1.24858157644654</v>
      </c>
      <c r="AP58">
        <v>2.640894639521747</v>
      </c>
      <c r="AQ58">
        <v>6.1108467464256648</v>
      </c>
      <c r="AR58">
        <v>4.9979604224800482</v>
      </c>
      <c r="AS58">
        <v>5.9653103148855422</v>
      </c>
      <c r="AT58">
        <v>3.952560540862919</v>
      </c>
      <c r="AU58">
        <v>3.7229564988305697</v>
      </c>
      <c r="AV58">
        <v>2.6232861229859026</v>
      </c>
      <c r="AW58">
        <v>5.0263439257598748</v>
      </c>
      <c r="AX58">
        <v>4.8530038383566563</v>
      </c>
      <c r="AY58">
        <v>4.7138286656310555</v>
      </c>
      <c r="AZ58">
        <v>5.0980684526118409</v>
      </c>
      <c r="BA58">
        <v>3.6468119905755998</v>
      </c>
      <c r="BB58">
        <v>-2.0152623590686716</v>
      </c>
      <c r="BC58">
        <v>2.0146957069940612</v>
      </c>
      <c r="BD58">
        <v>0.40143794113274112</v>
      </c>
      <c r="BE58">
        <v>-3.446822085897125</v>
      </c>
      <c r="BF58">
        <v>-6.5530782549911919</v>
      </c>
      <c r="BG58">
        <v>-1.82930910922002</v>
      </c>
      <c r="BH58">
        <v>3.383079711943779</v>
      </c>
      <c r="BI58">
        <v>6.4545544662589549</v>
      </c>
      <c r="BJ58">
        <v>5.8525403549324295</v>
      </c>
      <c r="BK58">
        <v>5.6928417244882468</v>
      </c>
      <c r="BL58">
        <v>5.8398849115400395</v>
      </c>
      <c r="BM58">
        <v>-3.3908604872275419</v>
      </c>
      <c r="BN58">
        <v>9.9113082080722279</v>
      </c>
      <c r="BO58">
        <v>5.058130190711438</v>
      </c>
    </row>
    <row r="59" spans="1:67">
      <c r="A59" t="s">
        <v>892</v>
      </c>
      <c r="B59" t="s">
        <v>893</v>
      </c>
      <c r="C59" t="s">
        <v>784</v>
      </c>
      <c r="D59" t="s">
        <v>785</v>
      </c>
      <c r="AJ59">
        <v>-11.614942331477565</v>
      </c>
      <c r="AK59">
        <v>-0.50654236961551646</v>
      </c>
      <c r="AL59">
        <v>6.1904268763839809E-2</v>
      </c>
      <c r="AM59">
        <v>2.9093094332032905</v>
      </c>
      <c r="AN59">
        <v>6.5008135290987212</v>
      </c>
      <c r="AO59">
        <v>4.2654166454684628</v>
      </c>
      <c r="AP59">
        <v>-0.51833104336206759</v>
      </c>
      <c r="AQ59">
        <v>-0.35656659619451148</v>
      </c>
      <c r="AR59">
        <v>1.3841489434292384</v>
      </c>
      <c r="AS59">
        <v>4.0010286350294422</v>
      </c>
      <c r="AT59">
        <v>3.0429765625704164</v>
      </c>
      <c r="AU59">
        <v>1.5698553282220189</v>
      </c>
      <c r="AV59">
        <v>3.5836884588041755</v>
      </c>
      <c r="AW59">
        <v>4.8142610012695854</v>
      </c>
      <c r="AX59">
        <v>6.6016175298895092</v>
      </c>
      <c r="AY59">
        <v>6.7669326812542749</v>
      </c>
      <c r="AZ59">
        <v>5.5703388592102527</v>
      </c>
      <c r="BA59">
        <v>2.6864119509276208</v>
      </c>
      <c r="BB59">
        <v>-4.6573310917175519</v>
      </c>
      <c r="BC59">
        <v>2.4349021590451798</v>
      </c>
      <c r="BD59">
        <v>1.7603596244522208</v>
      </c>
      <c r="BE59">
        <v>-0.78500429900361723</v>
      </c>
      <c r="BF59">
        <v>-4.5903673551521251E-2</v>
      </c>
      <c r="BG59">
        <v>2.2621028970807799</v>
      </c>
      <c r="BH59">
        <v>5.3883808381530685</v>
      </c>
      <c r="BI59">
        <v>2.5372845203138041</v>
      </c>
      <c r="BJ59">
        <v>5.1687243041307056</v>
      </c>
      <c r="BK59">
        <v>3.2200880695510534</v>
      </c>
      <c r="BL59">
        <v>3.0298786634527914</v>
      </c>
      <c r="BM59">
        <v>-5.5029679612508886</v>
      </c>
      <c r="BN59">
        <v>3.55302130899085</v>
      </c>
      <c r="BO59">
        <v>2.3510035396153484</v>
      </c>
    </row>
    <row r="60" spans="1:67">
      <c r="A60" t="s">
        <v>696</v>
      </c>
      <c r="B60" t="s">
        <v>894</v>
      </c>
      <c r="C60" t="s">
        <v>784</v>
      </c>
      <c r="D60" t="s">
        <v>785</v>
      </c>
      <c r="P60">
        <v>3.1326997381124784</v>
      </c>
      <c r="Q60">
        <v>4.3003413342023151</v>
      </c>
      <c r="R60">
        <v>4.7774868921738545</v>
      </c>
      <c r="S60">
        <v>0.89006874058721053</v>
      </c>
      <c r="T60">
        <v>-0.86673889422772277</v>
      </c>
      <c r="U60">
        <v>4.9492583766545692</v>
      </c>
      <c r="V60">
        <v>3.3472181200167199</v>
      </c>
      <c r="W60">
        <v>3.0084928567384566</v>
      </c>
      <c r="X60">
        <v>4.1503633406673686</v>
      </c>
      <c r="Y60">
        <v>1.4088286357214486</v>
      </c>
      <c r="Z60">
        <v>0.52924055653606672</v>
      </c>
      <c r="AA60">
        <v>-0.39484077479596635</v>
      </c>
      <c r="AB60">
        <v>1.572410169521163</v>
      </c>
      <c r="AC60">
        <v>2.8229478099795529</v>
      </c>
      <c r="AD60">
        <v>2.3279352622636651</v>
      </c>
      <c r="AE60">
        <v>2.2873392212703578</v>
      </c>
      <c r="AF60">
        <v>1.402151627420551</v>
      </c>
      <c r="AG60">
        <v>3.7072356594959075</v>
      </c>
      <c r="AH60">
        <v>3.8965516921444703</v>
      </c>
      <c r="AI60">
        <v>5.2550060827801275</v>
      </c>
      <c r="AJ60">
        <v>5.1082615219021079</v>
      </c>
      <c r="AK60">
        <v>1.923076559053996</v>
      </c>
      <c r="AL60">
        <v>-0.97684981816051675</v>
      </c>
      <c r="AM60">
        <v>2.3918920705133075</v>
      </c>
      <c r="AN60">
        <v>1.5441464955644477</v>
      </c>
      <c r="AO60">
        <v>0.80582289149000985</v>
      </c>
      <c r="AP60">
        <v>1.7921608209459094</v>
      </c>
      <c r="AQ60">
        <v>2.013932785193262</v>
      </c>
      <c r="AR60">
        <v>1.8872611539944444</v>
      </c>
      <c r="AS60">
        <v>2.9125029636670803</v>
      </c>
      <c r="AT60">
        <v>1.6814684809707927</v>
      </c>
      <c r="AU60">
        <v>-0.19797383477136066</v>
      </c>
      <c r="AV60">
        <v>-0.70011668611435596</v>
      </c>
      <c r="AW60">
        <v>1.1750881316098685</v>
      </c>
      <c r="AX60">
        <v>0.73170716355419074</v>
      </c>
      <c r="AY60">
        <v>3.8164419129879974</v>
      </c>
      <c r="AZ60">
        <v>2.9764551313159728</v>
      </c>
      <c r="BA60">
        <v>0.95987913356484</v>
      </c>
      <c r="BB60">
        <v>-5.6938363364028532</v>
      </c>
      <c r="BC60">
        <v>4.1798824987365748</v>
      </c>
      <c r="BD60">
        <v>3.9251927046341137</v>
      </c>
      <c r="BE60">
        <v>0.41849759421759813</v>
      </c>
      <c r="BF60">
        <v>0.43759130314467143</v>
      </c>
      <c r="BG60">
        <v>2.2095434313487203</v>
      </c>
      <c r="BH60">
        <v>1.4919315276077185</v>
      </c>
      <c r="BI60">
        <v>2.2299998678201547</v>
      </c>
      <c r="BJ60">
        <v>2.6802311140589126</v>
      </c>
      <c r="BK60">
        <v>0.98123260600473827</v>
      </c>
      <c r="BL60">
        <v>1.0754716357642309</v>
      </c>
      <c r="BM60">
        <v>-3.8267687161929302</v>
      </c>
      <c r="BN60">
        <v>3.1638199419457465</v>
      </c>
      <c r="BO60">
        <v>1.8062089672435064</v>
      </c>
    </row>
    <row r="61" spans="1:67">
      <c r="A61" t="s">
        <v>895</v>
      </c>
      <c r="B61" t="s">
        <v>896</v>
      </c>
      <c r="C61" t="s">
        <v>784</v>
      </c>
      <c r="D61" t="s">
        <v>785</v>
      </c>
      <c r="BG61">
        <v>7.0615432423392122</v>
      </c>
      <c r="BH61">
        <v>7.5261089188101664</v>
      </c>
      <c r="BI61">
        <v>7.1234323372871984</v>
      </c>
      <c r="BJ61">
        <v>5.4580915172119973</v>
      </c>
      <c r="BK61">
        <v>4.7744168883373987</v>
      </c>
      <c r="BL61">
        <v>5.5451305999467024</v>
      </c>
      <c r="BM61">
        <v>1.3163632415844404</v>
      </c>
      <c r="BN61">
        <v>4.5223477464370205</v>
      </c>
      <c r="BO61">
        <v>3.123833114328221</v>
      </c>
    </row>
    <row r="62" spans="1:67">
      <c r="A62" t="s">
        <v>897</v>
      </c>
      <c r="B62" t="s">
        <v>898</v>
      </c>
      <c r="C62" t="s">
        <v>784</v>
      </c>
      <c r="D62" t="s">
        <v>785</v>
      </c>
      <c r="W62">
        <v>10.535745803786284</v>
      </c>
      <c r="X62">
        <v>-18.359285489812549</v>
      </c>
      <c r="Y62">
        <v>13.383182271604596</v>
      </c>
      <c r="Z62">
        <v>10.82933099576924</v>
      </c>
      <c r="AA62">
        <v>4.1276834960978732</v>
      </c>
      <c r="AB62">
        <v>2.5563180365506781</v>
      </c>
      <c r="AC62">
        <v>4.1966468298089552</v>
      </c>
      <c r="AD62">
        <v>1.4209332166532676</v>
      </c>
      <c r="AE62">
        <v>7.07335649692142</v>
      </c>
      <c r="AF62">
        <v>6.3075611156848908</v>
      </c>
      <c r="AG62">
        <v>7.8166230128954055</v>
      </c>
      <c r="AH62">
        <v>-0.19113650561887141</v>
      </c>
      <c r="AI62">
        <v>5.4179835664061216</v>
      </c>
      <c r="AJ62">
        <v>1.3477649997398089</v>
      </c>
      <c r="AK62">
        <v>2.0294208256315613</v>
      </c>
      <c r="AL62">
        <v>2.1614141032899425</v>
      </c>
      <c r="AM62">
        <v>3.4481484674216745E-2</v>
      </c>
      <c r="AN62">
        <v>3.0308626017160947</v>
      </c>
      <c r="AO62">
        <v>3.1042022630327466</v>
      </c>
      <c r="AP62">
        <v>2.185627701614294</v>
      </c>
      <c r="AQ62">
        <v>3.7742268391984339</v>
      </c>
      <c r="AR62">
        <v>0.35407901207584302</v>
      </c>
      <c r="AS62">
        <v>2.3402193206939046</v>
      </c>
      <c r="AT62">
        <v>-6.3844729617571261E-2</v>
      </c>
      <c r="AU62">
        <v>-2.8279988926510384</v>
      </c>
      <c r="AV62">
        <v>6.3531371216935923</v>
      </c>
      <c r="AW62">
        <v>3.0506902946630987</v>
      </c>
      <c r="AX62">
        <v>0.65586226892352784</v>
      </c>
      <c r="AY62">
        <v>4.6594554863573734</v>
      </c>
      <c r="AZ62">
        <v>6.3529724394502978</v>
      </c>
      <c r="BA62">
        <v>7.1210579857578864</v>
      </c>
      <c r="BB62">
        <v>-1.1695906432748586</v>
      </c>
      <c r="BC62">
        <v>0.67263440044504819</v>
      </c>
      <c r="BD62">
        <v>-0.22355068823470958</v>
      </c>
      <c r="BE62">
        <v>-1.0590002433518748</v>
      </c>
      <c r="BF62">
        <v>-0.99994063117541998</v>
      </c>
      <c r="BG62">
        <v>4.7537865807689741</v>
      </c>
      <c r="BH62">
        <v>-2.7315030627182608</v>
      </c>
      <c r="BI62">
        <v>2.763647981704608</v>
      </c>
      <c r="BJ62">
        <v>-6.6189946328053395</v>
      </c>
      <c r="BK62">
        <v>3.54758441831531</v>
      </c>
      <c r="BL62">
        <v>5.5024834367040967</v>
      </c>
      <c r="BM62">
        <v>-16.604109523122091</v>
      </c>
      <c r="BN62">
        <v>6.8905494167316022</v>
      </c>
      <c r="BO62">
        <v>5.6483247561809549</v>
      </c>
    </row>
    <row r="63" spans="1:67">
      <c r="A63" t="s">
        <v>899</v>
      </c>
      <c r="B63" t="s">
        <v>900</v>
      </c>
      <c r="C63" t="s">
        <v>784</v>
      </c>
      <c r="D63" t="s">
        <v>785</v>
      </c>
      <c r="F63">
        <v>6.3788324755738444</v>
      </c>
      <c r="G63">
        <v>5.6668221727180708</v>
      </c>
      <c r="H63">
        <v>0.63702123420235068</v>
      </c>
      <c r="I63">
        <v>9.2699382145179356</v>
      </c>
      <c r="J63">
        <v>4.5552548140710627</v>
      </c>
      <c r="K63">
        <v>2.7409101090323702</v>
      </c>
      <c r="L63">
        <v>5.530370007520105</v>
      </c>
      <c r="M63">
        <v>5.5530765763872552</v>
      </c>
      <c r="N63">
        <v>6.5092483848995073</v>
      </c>
      <c r="O63">
        <v>1.5968418046351758</v>
      </c>
      <c r="P63">
        <v>3.0049955742173893</v>
      </c>
      <c r="Q63">
        <v>3.9293853411606112</v>
      </c>
      <c r="R63">
        <v>4.0929460920672511</v>
      </c>
      <c r="S63">
        <v>-1.122394250360756</v>
      </c>
      <c r="T63">
        <v>-1.4566449360145555</v>
      </c>
      <c r="U63">
        <v>5.9246061868967388</v>
      </c>
      <c r="V63">
        <v>1.8702910303357072</v>
      </c>
      <c r="W63">
        <v>2.2263085404280929</v>
      </c>
      <c r="X63">
        <v>3.8691114826421114</v>
      </c>
      <c r="Y63">
        <v>-0.48298633665332602</v>
      </c>
      <c r="Z63">
        <v>-0.66612415558169857</v>
      </c>
      <c r="AA63">
        <v>3.6845729676336418</v>
      </c>
      <c r="AB63">
        <v>2.5960719192376587</v>
      </c>
      <c r="AC63">
        <v>4.1661379228444417</v>
      </c>
      <c r="AD63">
        <v>4.0037518151593332</v>
      </c>
      <c r="AE63">
        <v>4.904178354990421</v>
      </c>
      <c r="AF63">
        <v>0.25426631463372473</v>
      </c>
      <c r="AG63">
        <v>-1.3601205280096451E-2</v>
      </c>
      <c r="AH63">
        <v>0.64518743197663753</v>
      </c>
      <c r="AI63">
        <v>1.4752442765040996</v>
      </c>
      <c r="AJ63">
        <v>1.3936339974679299</v>
      </c>
      <c r="AK63">
        <v>1.9570067118385595</v>
      </c>
      <c r="AL63">
        <v>1.068763082683688E-2</v>
      </c>
      <c r="AM63">
        <v>5.3324627115530774</v>
      </c>
      <c r="AN63">
        <v>3.0275872672532955</v>
      </c>
      <c r="AO63">
        <v>2.9000997687400627</v>
      </c>
      <c r="AP63">
        <v>3.2608901577479799</v>
      </c>
      <c r="AQ63">
        <v>2.2181587422376055</v>
      </c>
      <c r="AR63">
        <v>2.9480221606390131</v>
      </c>
      <c r="AS63">
        <v>3.7468625954019785</v>
      </c>
      <c r="AT63">
        <v>0.82315299801443587</v>
      </c>
      <c r="AU63">
        <v>0.46634557149423017</v>
      </c>
      <c r="AV63">
        <v>0.39005855648510135</v>
      </c>
      <c r="AW63">
        <v>2.6682192674174701</v>
      </c>
      <c r="AX63">
        <v>2.3366413082194697</v>
      </c>
      <c r="AY63">
        <v>3.9130079783106027</v>
      </c>
      <c r="AZ63">
        <v>0.90923892830237207</v>
      </c>
      <c r="BA63">
        <v>-0.51201674484910598</v>
      </c>
      <c r="BB63">
        <v>-4.9065477296515496</v>
      </c>
      <c r="BC63">
        <v>1.8709911471849665</v>
      </c>
      <c r="BD63">
        <v>1.3367777669032819</v>
      </c>
      <c r="BE63">
        <v>0.22649979180296498</v>
      </c>
      <c r="BF63">
        <v>0.93334097237122648</v>
      </c>
      <c r="BG63">
        <v>1.619393811030335</v>
      </c>
      <c r="BH63">
        <v>2.3425911075704704</v>
      </c>
      <c r="BI63">
        <v>3.2459569852439643</v>
      </c>
      <c r="BJ63">
        <v>2.8217363412902614</v>
      </c>
      <c r="BK63">
        <v>1.9895373149643234</v>
      </c>
      <c r="BL63">
        <v>1.4934869585364794</v>
      </c>
      <c r="BM63">
        <v>-2.4245126786193794</v>
      </c>
      <c r="BN63">
        <v>6.8445219018344261</v>
      </c>
      <c r="BO63">
        <v>2.7311744542143117</v>
      </c>
    </row>
    <row r="64" spans="1:67">
      <c r="A64" t="s">
        <v>901</v>
      </c>
      <c r="B64" t="s">
        <v>902</v>
      </c>
      <c r="C64" t="s">
        <v>784</v>
      </c>
      <c r="D64" t="s">
        <v>785</v>
      </c>
      <c r="F64">
        <v>-2.3132487499522512</v>
      </c>
      <c r="G64">
        <v>17.047240933300074</v>
      </c>
      <c r="H64">
        <v>6.5029026339736333</v>
      </c>
      <c r="I64">
        <v>6.7648651164071225</v>
      </c>
      <c r="J64">
        <v>-12.481833916157697</v>
      </c>
      <c r="K64">
        <v>13.463344832587083</v>
      </c>
      <c r="L64">
        <v>3.327542287233058</v>
      </c>
      <c r="M64">
        <v>0.23886048469610444</v>
      </c>
      <c r="N64">
        <v>10.891445830779347</v>
      </c>
      <c r="O64">
        <v>18.226682879650085</v>
      </c>
      <c r="P64">
        <v>10.871466068182528</v>
      </c>
      <c r="Q64">
        <v>10.394164076760575</v>
      </c>
      <c r="R64">
        <v>12.895763725101745</v>
      </c>
      <c r="S64">
        <v>6.0019029033300626</v>
      </c>
      <c r="T64">
        <v>5.1932533571604296</v>
      </c>
      <c r="U64">
        <v>6.7281226419715523</v>
      </c>
      <c r="V64">
        <v>4.9817839508752968</v>
      </c>
      <c r="W64">
        <v>2.1406846765277692</v>
      </c>
      <c r="X64">
        <v>4.5313992167917831</v>
      </c>
      <c r="Y64">
        <v>7.9687385074419979</v>
      </c>
      <c r="Z64">
        <v>4.279867479526871</v>
      </c>
      <c r="AA64">
        <v>1.698708630978345</v>
      </c>
      <c r="AB64">
        <v>4.6279463484542731</v>
      </c>
      <c r="AC64">
        <v>1.2528959745247192</v>
      </c>
      <c r="AD64">
        <v>-2.1225349762371337</v>
      </c>
      <c r="AE64">
        <v>3.5219931990150286</v>
      </c>
      <c r="AF64">
        <v>10.117367361747711</v>
      </c>
      <c r="AG64">
        <v>2.1559633310785102</v>
      </c>
      <c r="AH64">
        <v>4.400538814910874</v>
      </c>
      <c r="AI64">
        <v>-5.4543123951125807</v>
      </c>
      <c r="AJ64">
        <v>0.94413888905656052</v>
      </c>
      <c r="AK64">
        <v>11.220932739600158</v>
      </c>
      <c r="AL64">
        <v>7.3645130417130105</v>
      </c>
      <c r="AM64">
        <v>2.6003542682773144</v>
      </c>
      <c r="AN64">
        <v>5.6854307369864188</v>
      </c>
      <c r="AO64">
        <v>5.9778251143426644</v>
      </c>
      <c r="AP64">
        <v>8.8852690659039268</v>
      </c>
      <c r="AQ64">
        <v>6.7144777117717638</v>
      </c>
      <c r="AR64">
        <v>5.9400491362855377</v>
      </c>
      <c r="AS64">
        <v>4.6617622800145995</v>
      </c>
      <c r="AT64">
        <v>2.4595163677291794</v>
      </c>
      <c r="AU64">
        <v>4.4951034029209893</v>
      </c>
      <c r="AV64">
        <v>-1.3457061850644152</v>
      </c>
      <c r="AW64">
        <v>2.5701342793019677</v>
      </c>
      <c r="AX64">
        <v>9.428236946796801</v>
      </c>
      <c r="AY64">
        <v>9.1743554058407994</v>
      </c>
      <c r="AZ64">
        <v>7.415951714814554</v>
      </c>
      <c r="BA64">
        <v>3.2095042615795819</v>
      </c>
      <c r="BB64">
        <v>0.94615516779062148</v>
      </c>
      <c r="BC64">
        <v>8.3396510596221844</v>
      </c>
      <c r="BD64">
        <v>3.1334230032675521</v>
      </c>
      <c r="BE64">
        <v>2.7173678967056247</v>
      </c>
      <c r="BF64">
        <v>4.8752050933227054</v>
      </c>
      <c r="BG64">
        <v>7.0504636896591109</v>
      </c>
      <c r="BH64">
        <v>6.9270187716221017</v>
      </c>
      <c r="BI64">
        <v>6.6592002626958191</v>
      </c>
      <c r="BJ64">
        <v>4.6667046773236649</v>
      </c>
      <c r="BK64">
        <v>6.9825275845805805</v>
      </c>
      <c r="BL64">
        <v>5.0521680201625259</v>
      </c>
      <c r="BM64">
        <v>-6.7202393728340439</v>
      </c>
      <c r="BN64">
        <v>12.271990234789598</v>
      </c>
      <c r="BO64">
        <v>4.8583240358245092</v>
      </c>
    </row>
    <row r="65" spans="1:67">
      <c r="A65" t="s">
        <v>903</v>
      </c>
      <c r="B65" t="s">
        <v>904</v>
      </c>
      <c r="C65" t="s">
        <v>784</v>
      </c>
      <c r="D65" t="s">
        <v>785</v>
      </c>
      <c r="F65">
        <v>-13.605441324599269</v>
      </c>
      <c r="G65">
        <v>-19.685041825638777</v>
      </c>
      <c r="H65">
        <v>34.313728780288272</v>
      </c>
      <c r="I65">
        <v>5.8394130077341373</v>
      </c>
      <c r="J65">
        <v>6.206898211063816</v>
      </c>
      <c r="K65">
        <v>-4.8049709432612957</v>
      </c>
      <c r="L65">
        <v>9.4529625627975946</v>
      </c>
      <c r="M65">
        <v>10.796238571096751</v>
      </c>
      <c r="N65">
        <v>8.4332802824865354</v>
      </c>
      <c r="O65">
        <v>8.8626571100820257</v>
      </c>
      <c r="P65">
        <v>-11.331719168285488</v>
      </c>
      <c r="Q65">
        <v>27.423969480412765</v>
      </c>
      <c r="R65">
        <v>3.8131762961115498</v>
      </c>
      <c r="S65">
        <v>7.4949177045436528</v>
      </c>
      <c r="T65">
        <v>5.0453416126740649</v>
      </c>
      <c r="U65">
        <v>8.3867564844160256</v>
      </c>
      <c r="V65">
        <v>5.2585859864641833</v>
      </c>
      <c r="W65">
        <v>9.214835700676943</v>
      </c>
      <c r="X65">
        <v>7.477826551447734</v>
      </c>
      <c r="Y65">
        <v>0.79060697185160222</v>
      </c>
      <c r="Z65">
        <v>2.9999960884105974</v>
      </c>
      <c r="AA65">
        <v>6.4000041148494233</v>
      </c>
      <c r="AB65">
        <v>5.400003024509445</v>
      </c>
      <c r="AC65">
        <v>5.5999965293887186</v>
      </c>
      <c r="AD65">
        <v>3.6999972548848774</v>
      </c>
      <c r="AE65">
        <v>0.40000100279462458</v>
      </c>
      <c r="AF65">
        <v>-0.69999752621751554</v>
      </c>
      <c r="AG65">
        <v>-1.0000054906621756</v>
      </c>
      <c r="AH65">
        <v>4.4000021605999251</v>
      </c>
      <c r="AI65">
        <v>0.80000058017206754</v>
      </c>
      <c r="AJ65">
        <v>-1.2000005855168183</v>
      </c>
      <c r="AK65">
        <v>1.8000023031884638</v>
      </c>
      <c r="AL65">
        <v>-2.1000007578754492</v>
      </c>
      <c r="AM65">
        <v>-0.89999655247224553</v>
      </c>
      <c r="AN65">
        <v>3.7999947898408521</v>
      </c>
      <c r="AO65">
        <v>4.0999984699482184</v>
      </c>
      <c r="AP65">
        <v>1.099999939308077</v>
      </c>
      <c r="AQ65">
        <v>5.1000036090421759</v>
      </c>
      <c r="AR65">
        <v>3.2000015537060591</v>
      </c>
      <c r="AS65">
        <v>3.8000000016111812</v>
      </c>
      <c r="AT65">
        <v>2.9999999991376711</v>
      </c>
      <c r="AU65">
        <v>5.5999999961301938</v>
      </c>
      <c r="AV65">
        <v>7.2000000014094496</v>
      </c>
      <c r="AW65">
        <v>4.2999999997699092</v>
      </c>
      <c r="AX65">
        <v>5.8999999973054855</v>
      </c>
      <c r="AY65">
        <v>1.7000000057434903</v>
      </c>
      <c r="AZ65">
        <v>3.3999999965325145</v>
      </c>
      <c r="BA65">
        <v>2.3999999993774139</v>
      </c>
      <c r="BB65">
        <v>1.5999999990051066</v>
      </c>
      <c r="BC65">
        <v>3.6000000007888104</v>
      </c>
      <c r="BD65">
        <v>2.8999999981883491</v>
      </c>
      <c r="BE65">
        <v>3.4000000029343056</v>
      </c>
      <c r="BF65">
        <v>2.8</v>
      </c>
      <c r="BG65">
        <v>3.7999999983676815</v>
      </c>
      <c r="BH65">
        <v>3.7000000013875507</v>
      </c>
      <c r="BI65">
        <v>3.2000000017394541</v>
      </c>
      <c r="BJ65">
        <v>1.299999998276661</v>
      </c>
      <c r="BK65">
        <v>1.2000000010239376</v>
      </c>
      <c r="BL65">
        <v>0.99999999815558738</v>
      </c>
      <c r="BM65">
        <v>-5.0999999976312296</v>
      </c>
      <c r="BN65">
        <v>3.3999999997361101</v>
      </c>
      <c r="BO65">
        <v>3.2000016467070651</v>
      </c>
    </row>
    <row r="66" spans="1:67">
      <c r="A66" t="s">
        <v>905</v>
      </c>
      <c r="B66" t="s">
        <v>906</v>
      </c>
      <c r="C66" t="s">
        <v>784</v>
      </c>
      <c r="D66" t="s">
        <v>785</v>
      </c>
      <c r="F66">
        <v>-13.327860658865447</v>
      </c>
      <c r="G66">
        <v>-0.64012410891874083</v>
      </c>
      <c r="H66">
        <v>6.4396795922365726</v>
      </c>
      <c r="I66">
        <v>10.784183660910514</v>
      </c>
      <c r="J66">
        <v>10.781795459165266</v>
      </c>
      <c r="K66">
        <v>8.001839734178958</v>
      </c>
      <c r="L66">
        <v>-1.4207044050271094</v>
      </c>
      <c r="M66">
        <v>1.7739065095434086</v>
      </c>
      <c r="N66">
        <v>11.384263099974305</v>
      </c>
      <c r="O66">
        <v>13.441445173459527</v>
      </c>
      <c r="P66">
        <v>6.7698723282605187</v>
      </c>
      <c r="Q66">
        <v>4.9081216033348056</v>
      </c>
      <c r="R66">
        <v>8.2597410216756373</v>
      </c>
      <c r="S66">
        <v>3.867187441812419</v>
      </c>
      <c r="T66">
        <v>6.8405663890912933</v>
      </c>
      <c r="U66">
        <v>2.8455063643692711</v>
      </c>
      <c r="V66">
        <v>7.5732421048808902</v>
      </c>
      <c r="W66">
        <v>9.2602925155066202</v>
      </c>
      <c r="X66">
        <v>7.1017483917672308</v>
      </c>
      <c r="Y66">
        <v>7.5660050983451583</v>
      </c>
      <c r="Z66">
        <v>5.5985941482811228</v>
      </c>
      <c r="AA66">
        <v>6.4379492174070094</v>
      </c>
      <c r="AB66">
        <v>7.7368215366635127</v>
      </c>
      <c r="AC66">
        <v>9.9551753607334206</v>
      </c>
      <c r="AD66">
        <v>7.8987937931246819</v>
      </c>
      <c r="AE66">
        <v>7.1329337469997682</v>
      </c>
      <c r="AF66">
        <v>9.1453538383091484</v>
      </c>
      <c r="AG66">
        <v>9.7312661763817374</v>
      </c>
      <c r="AH66">
        <v>5.7576852871012107</v>
      </c>
      <c r="AI66">
        <v>5.1637713044433724</v>
      </c>
      <c r="AJ66">
        <v>8.0041156952015911</v>
      </c>
      <c r="AK66">
        <v>11.192365596570355</v>
      </c>
      <c r="AL66">
        <v>11.286414662677274</v>
      </c>
      <c r="AM66">
        <v>10.936347310050579</v>
      </c>
      <c r="AN66">
        <v>9.8747780328417605</v>
      </c>
      <c r="AO66">
        <v>9.0633593315549348</v>
      </c>
      <c r="AP66">
        <v>7.3435512821634177</v>
      </c>
      <c r="AQ66">
        <v>2.8951183892269086</v>
      </c>
      <c r="AR66">
        <v>6.3893138306674047</v>
      </c>
      <c r="AS66">
        <v>7.6390864514785903</v>
      </c>
      <c r="AT66">
        <v>6.979533653797418</v>
      </c>
      <c r="AU66">
        <v>8.0599947824183715</v>
      </c>
      <c r="AV66">
        <v>8.9442388729175377</v>
      </c>
      <c r="AW66">
        <v>9.1211661991703608</v>
      </c>
      <c r="AX66">
        <v>9.9768098937747425</v>
      </c>
      <c r="AY66">
        <v>11.077861197227932</v>
      </c>
      <c r="AZ66">
        <v>12.486239127365749</v>
      </c>
      <c r="BA66">
        <v>8.6152014591908141</v>
      </c>
      <c r="BB66">
        <v>7.9845411445644601</v>
      </c>
      <c r="BC66">
        <v>9.9211414808402623</v>
      </c>
      <c r="BD66">
        <v>8.6428426240838547</v>
      </c>
      <c r="BE66">
        <v>7.5801471515344332</v>
      </c>
      <c r="BF66">
        <v>7.2984484315892644</v>
      </c>
      <c r="BG66">
        <v>6.9835143569408018</v>
      </c>
      <c r="BH66">
        <v>6.707151966443007</v>
      </c>
      <c r="BI66">
        <v>6.5652649060255186</v>
      </c>
      <c r="BJ66">
        <v>6.7074848311114152</v>
      </c>
      <c r="BK66">
        <v>6.5249266920044846</v>
      </c>
      <c r="BL66">
        <v>5.7816936258206653</v>
      </c>
      <c r="BM66">
        <v>1.2461725462947584</v>
      </c>
      <c r="BN66">
        <v>7.6012240144130772</v>
      </c>
      <c r="BO66">
        <v>3.4142409226334109</v>
      </c>
    </row>
    <row r="67" spans="1:67">
      <c r="A67" t="s">
        <v>907</v>
      </c>
      <c r="B67" t="s">
        <v>908</v>
      </c>
      <c r="C67" t="s">
        <v>784</v>
      </c>
      <c r="D67" t="s">
        <v>785</v>
      </c>
      <c r="F67">
        <v>4.395184321098526</v>
      </c>
      <c r="G67">
        <v>3.4567679306977794</v>
      </c>
      <c r="H67">
        <v>4.7675849003503146</v>
      </c>
      <c r="I67">
        <v>8.0726768992067832</v>
      </c>
      <c r="J67">
        <v>5.5343756041254011</v>
      </c>
      <c r="K67">
        <v>4.0574123346150941</v>
      </c>
      <c r="L67">
        <v>5.4585695841845734</v>
      </c>
      <c r="M67">
        <v>6.5662289275113039</v>
      </c>
      <c r="N67">
        <v>6.473574054550042</v>
      </c>
      <c r="O67">
        <v>8.6080994890052551</v>
      </c>
      <c r="P67">
        <v>5.9075451019119214</v>
      </c>
      <c r="Q67">
        <v>6.9091745445844595</v>
      </c>
      <c r="R67">
        <v>7.3782262813651727</v>
      </c>
      <c r="S67">
        <v>6.7010120561878068</v>
      </c>
      <c r="T67">
        <v>2.4711929839911875</v>
      </c>
      <c r="U67">
        <v>7.1467778853350694</v>
      </c>
      <c r="V67">
        <v>4.0869270101522943</v>
      </c>
      <c r="W67">
        <v>1.3645913731616446</v>
      </c>
      <c r="X67">
        <v>4.0965504851080254</v>
      </c>
      <c r="Y67">
        <v>3.5229951974727243</v>
      </c>
      <c r="Z67">
        <v>4.1230826519559969</v>
      </c>
      <c r="AA67">
        <v>-0.14591940085966826</v>
      </c>
      <c r="AB67">
        <v>0.12847820875394689</v>
      </c>
      <c r="AC67">
        <v>2.2334347725544177</v>
      </c>
      <c r="AD67">
        <v>0.73358122315030982</v>
      </c>
      <c r="AE67">
        <v>2.6958850477694369</v>
      </c>
      <c r="AF67">
        <v>2.7738938495089656</v>
      </c>
      <c r="AG67">
        <v>3.5292590946031481</v>
      </c>
      <c r="AH67">
        <v>2.2909279543237915</v>
      </c>
      <c r="AI67">
        <v>5.4331381848688096</v>
      </c>
      <c r="AJ67">
        <v>4.572257184289839</v>
      </c>
      <c r="AK67">
        <v>4.0366131600677591</v>
      </c>
      <c r="AL67">
        <v>3.5150198613037986</v>
      </c>
      <c r="AM67">
        <v>3.3205759645001081</v>
      </c>
      <c r="AN67">
        <v>2.3802115868816003</v>
      </c>
      <c r="AO67">
        <v>5.7975840707855042</v>
      </c>
      <c r="AP67">
        <v>4.8161119130786432</v>
      </c>
      <c r="AQ67">
        <v>2.5272080507616153</v>
      </c>
      <c r="AR67">
        <v>2.1029408437080122</v>
      </c>
      <c r="AS67">
        <v>4.4271557932819263</v>
      </c>
      <c r="AT67">
        <v>1.0272357385212416</v>
      </c>
      <c r="AU67">
        <v>1.7633523558655355</v>
      </c>
      <c r="AV67">
        <v>5.326659788790991</v>
      </c>
      <c r="AW67">
        <v>6.1629861313160745</v>
      </c>
      <c r="AX67">
        <v>5.8645895448013334</v>
      </c>
      <c r="AY67">
        <v>6.01374358416993</v>
      </c>
      <c r="AZ67">
        <v>5.6870463448731101</v>
      </c>
      <c r="BA67">
        <v>3.4440839174596789</v>
      </c>
      <c r="BB67">
        <v>0.63707023858061973</v>
      </c>
      <c r="BC67">
        <v>6.489828505998247</v>
      </c>
      <c r="BD67">
        <v>4.9143665329918633</v>
      </c>
      <c r="BE67">
        <v>4.2043123486870115</v>
      </c>
      <c r="BF67">
        <v>4.0650834202281487</v>
      </c>
      <c r="BG67">
        <v>4.1248342947349528</v>
      </c>
      <c r="BH67">
        <v>4.4344916052337737</v>
      </c>
      <c r="BI67">
        <v>4.4359448033885087</v>
      </c>
      <c r="BJ67">
        <v>4.5388916845813867</v>
      </c>
      <c r="BK67">
        <v>3.8173942769872866</v>
      </c>
      <c r="BL67">
        <v>2.3554552978875449</v>
      </c>
      <c r="BM67">
        <v>-4.2857043193579898</v>
      </c>
      <c r="BN67">
        <v>7.1264611698215248</v>
      </c>
      <c r="BO67">
        <v>5.6408309210780487</v>
      </c>
    </row>
    <row r="68" spans="1:67">
      <c r="A68" t="s">
        <v>909</v>
      </c>
      <c r="B68" t="s">
        <v>910</v>
      </c>
      <c r="C68" t="s">
        <v>784</v>
      </c>
      <c r="D68" t="s">
        <v>785</v>
      </c>
      <c r="F68">
        <v>3.7684227385696971</v>
      </c>
      <c r="G68">
        <v>5.4989262881051104</v>
      </c>
      <c r="H68">
        <v>7.8164893486705438</v>
      </c>
      <c r="I68">
        <v>10.536635887416779</v>
      </c>
      <c r="J68">
        <v>7.0137121254934414</v>
      </c>
      <c r="K68">
        <v>8.6641086212524812</v>
      </c>
      <c r="L68">
        <v>7.7019421614861585</v>
      </c>
      <c r="M68">
        <v>9.5604629524750351</v>
      </c>
      <c r="N68">
        <v>11.497514561684156</v>
      </c>
      <c r="O68">
        <v>5.3898277447445935</v>
      </c>
      <c r="P68">
        <v>5.3162761833552139</v>
      </c>
      <c r="Q68">
        <v>7.2151933695674444</v>
      </c>
      <c r="R68">
        <v>7.661419869119058</v>
      </c>
      <c r="S68">
        <v>0.88077596242091261</v>
      </c>
      <c r="T68">
        <v>3.7058717656809961</v>
      </c>
      <c r="U68">
        <v>4.2587955555268024</v>
      </c>
      <c r="V68">
        <v>5.4236951989992974</v>
      </c>
      <c r="W68">
        <v>5.7993441662104033</v>
      </c>
      <c r="X68">
        <v>5.9149172071970071</v>
      </c>
      <c r="Y68">
        <v>3.788734267603175</v>
      </c>
      <c r="Z68">
        <v>4.6729560263687944</v>
      </c>
      <c r="AA68">
        <v>4.1526144145887685</v>
      </c>
      <c r="AB68">
        <v>4.4282289926434402</v>
      </c>
      <c r="AC68">
        <v>6.161605887834142</v>
      </c>
      <c r="AD68">
        <v>5.7000175614908954</v>
      </c>
      <c r="AE68">
        <v>4.9219389301577934</v>
      </c>
      <c r="AF68">
        <v>6.2565513287176486</v>
      </c>
      <c r="AG68">
        <v>7.5996306204896769</v>
      </c>
      <c r="AH68">
        <v>5.1626971734088869</v>
      </c>
      <c r="AI68">
        <v>5.0706425757360449</v>
      </c>
      <c r="AJ68">
        <v>4.8527041341295245</v>
      </c>
      <c r="AK68">
        <v>4.2420864368211966</v>
      </c>
      <c r="AL68">
        <v>4.1990794668050029</v>
      </c>
      <c r="AM68">
        <v>5.2383229881809257</v>
      </c>
      <c r="AN68">
        <v>5.6688167236069518</v>
      </c>
      <c r="AO68">
        <v>5.6206453384088633</v>
      </c>
      <c r="AP68">
        <v>4.0546026285113328</v>
      </c>
      <c r="AQ68">
        <v>0.45126501991114765</v>
      </c>
      <c r="AR68">
        <v>3.7411493146753259</v>
      </c>
      <c r="AS68">
        <v>5.3936845167414447</v>
      </c>
      <c r="AT68">
        <v>3.2991290556675636</v>
      </c>
      <c r="AU68">
        <v>4.3773342485651483</v>
      </c>
      <c r="AV68">
        <v>4.9476618550406499</v>
      </c>
      <c r="AW68">
        <v>5.8677758003142628</v>
      </c>
      <c r="AX68">
        <v>5.8994111126824009</v>
      </c>
      <c r="AY68">
        <v>6.4539834952224595</v>
      </c>
      <c r="AZ68">
        <v>7.4667781773952697</v>
      </c>
      <c r="BA68">
        <v>4.3853185483930304</v>
      </c>
      <c r="BB68">
        <v>2.5604327391739616</v>
      </c>
      <c r="BC68">
        <v>7.6098550849384736</v>
      </c>
      <c r="BD68">
        <v>5.4617054638798521</v>
      </c>
      <c r="BE68">
        <v>5.1829706240404221</v>
      </c>
      <c r="BF68">
        <v>5.2451139509580855</v>
      </c>
      <c r="BG68">
        <v>4.7587396714346113</v>
      </c>
      <c r="BH68">
        <v>4.7283317155886664</v>
      </c>
      <c r="BI68">
        <v>4.6601259139630287</v>
      </c>
      <c r="BJ68">
        <v>5.0546400003695879</v>
      </c>
      <c r="BK68">
        <v>4.7602191038093054</v>
      </c>
      <c r="BL68">
        <v>3.960591034539334</v>
      </c>
      <c r="BM68">
        <v>-0.14749848331165083</v>
      </c>
      <c r="BN68">
        <v>6.2115905890449454</v>
      </c>
      <c r="BO68">
        <v>2.8808700155330769</v>
      </c>
    </row>
    <row r="69" spans="1:67">
      <c r="A69" t="s">
        <v>911</v>
      </c>
      <c r="B69" t="s">
        <v>912</v>
      </c>
      <c r="C69" t="s">
        <v>784</v>
      </c>
      <c r="D69" t="s">
        <v>785</v>
      </c>
      <c r="AI69">
        <v>-1.45700440848276</v>
      </c>
      <c r="AJ69">
        <v>-4.910092491362704</v>
      </c>
      <c r="AK69">
        <v>-10.667835945452225</v>
      </c>
      <c r="AL69">
        <v>-5.9316840892608838</v>
      </c>
      <c r="AM69">
        <v>-11.166872333056304</v>
      </c>
      <c r="AN69">
        <v>-1.8586363343549408</v>
      </c>
      <c r="AO69">
        <v>-0.11211999395217731</v>
      </c>
      <c r="AP69">
        <v>2.8585943231778543</v>
      </c>
      <c r="AQ69">
        <v>-1.5629315263587102</v>
      </c>
      <c r="AR69">
        <v>2.3561286539102611</v>
      </c>
      <c r="AS69">
        <v>8.4234320730725614</v>
      </c>
      <c r="AT69">
        <v>2.6493365035490228</v>
      </c>
      <c r="AU69">
        <v>5.4885037652272644</v>
      </c>
      <c r="AV69">
        <v>6.9402509276892204</v>
      </c>
      <c r="AW69">
        <v>8.2891906404007898</v>
      </c>
      <c r="AX69">
        <v>7.3584002904760553</v>
      </c>
      <c r="AY69">
        <v>8.1857270130976332</v>
      </c>
      <c r="AZ69">
        <v>7.803334541919881</v>
      </c>
      <c r="BA69">
        <v>4.2332382104556672</v>
      </c>
      <c r="BB69">
        <v>-5.7277679645022346</v>
      </c>
      <c r="BC69">
        <v>5.6412251139815908</v>
      </c>
      <c r="BD69">
        <v>6.2858543511683109</v>
      </c>
      <c r="BE69">
        <v>3.9754160127624942</v>
      </c>
      <c r="BF69">
        <v>4.046738621244387</v>
      </c>
      <c r="BG69">
        <v>2.0497998580928396</v>
      </c>
      <c r="BH69">
        <v>0.91150889212532604</v>
      </c>
      <c r="BI69">
        <v>1.5772214612083957</v>
      </c>
      <c r="BJ69">
        <v>3.9263528108997292</v>
      </c>
      <c r="BK69">
        <v>3.1739557763552142</v>
      </c>
      <c r="BL69">
        <v>2.2534144954409925</v>
      </c>
      <c r="BM69">
        <v>-1.2273787635672164</v>
      </c>
      <c r="BN69">
        <v>7.4609214256687153</v>
      </c>
      <c r="BO69">
        <v>0.76585815259817025</v>
      </c>
    </row>
    <row r="70" spans="1:67">
      <c r="A70" t="s">
        <v>913</v>
      </c>
      <c r="B70" t="s">
        <v>914</v>
      </c>
      <c r="C70" t="s">
        <v>784</v>
      </c>
      <c r="D70" t="s">
        <v>785</v>
      </c>
      <c r="P70">
        <v>3.6836081212964871</v>
      </c>
      <c r="Q70">
        <v>4.7416907108633239</v>
      </c>
      <c r="R70">
        <v>6.0203477536999799</v>
      </c>
      <c r="S70">
        <v>2.1792959307553446</v>
      </c>
      <c r="T70">
        <v>-0.53161713769925711</v>
      </c>
      <c r="U70">
        <v>4.6984854550899797</v>
      </c>
      <c r="V70">
        <v>2.8486094485378146</v>
      </c>
      <c r="W70">
        <v>3.2260761617796732</v>
      </c>
      <c r="X70">
        <v>3.7640062156536942</v>
      </c>
      <c r="Y70">
        <v>1.3499299204752901</v>
      </c>
      <c r="Z70">
        <v>0.48014675223015502</v>
      </c>
      <c r="AA70">
        <v>0.9463803119484453</v>
      </c>
      <c r="AB70">
        <v>1.9654791558931635</v>
      </c>
      <c r="AC70">
        <v>2.6473218080199388</v>
      </c>
      <c r="AD70">
        <v>2.7990872691846675</v>
      </c>
      <c r="AE70">
        <v>2.755318524341078</v>
      </c>
      <c r="AF70">
        <v>3.0789074208450842</v>
      </c>
      <c r="AG70">
        <v>4.2436050640047398</v>
      </c>
      <c r="AH70">
        <v>3.5374770612544495</v>
      </c>
      <c r="AI70">
        <v>2.3381296926742863</v>
      </c>
      <c r="AJ70">
        <v>0.43792576470850975</v>
      </c>
      <c r="AK70">
        <v>-0.52017429511502655</v>
      </c>
      <c r="AL70">
        <v>-0.74195517448262649</v>
      </c>
      <c r="AM70">
        <v>1.225364542111123</v>
      </c>
      <c r="AN70">
        <v>2.1372243264397497</v>
      </c>
      <c r="AO70">
        <v>1.7877736837302933</v>
      </c>
      <c r="AP70">
        <v>3.0745610746792948</v>
      </c>
      <c r="AQ70">
        <v>2.6272276159852197</v>
      </c>
      <c r="AR70">
        <v>2.8776437197964668</v>
      </c>
      <c r="AS70">
        <v>4.3597734822286185</v>
      </c>
      <c r="AT70">
        <v>2.2583560697447354</v>
      </c>
      <c r="AU70">
        <v>1.5842963796839342</v>
      </c>
      <c r="AV70">
        <v>1.7949496442057011</v>
      </c>
      <c r="AW70">
        <v>3.1908817945219425</v>
      </c>
      <c r="AX70">
        <v>2.6718405823294518</v>
      </c>
      <c r="AY70">
        <v>3.8650438609047626</v>
      </c>
      <c r="AZ70">
        <v>3.6516076587596871</v>
      </c>
      <c r="BA70">
        <v>1.0165517244783047</v>
      </c>
      <c r="BB70">
        <v>-4.4578878844523047</v>
      </c>
      <c r="BC70">
        <v>2.6589159794109065</v>
      </c>
      <c r="BD70">
        <v>2.3471612046471932</v>
      </c>
      <c r="BE70">
        <v>0.3597823064376513</v>
      </c>
      <c r="BF70">
        <v>0.8465984882862756</v>
      </c>
      <c r="BG70">
        <v>1.9265751808139129</v>
      </c>
      <c r="BH70">
        <v>2.0577908298112817</v>
      </c>
      <c r="BI70">
        <v>1.8990441400024167</v>
      </c>
      <c r="BJ70">
        <v>2.9086406082474525</v>
      </c>
      <c r="BK70">
        <v>2.1330590930634656</v>
      </c>
      <c r="BL70">
        <v>1.8046781202597231</v>
      </c>
      <c r="BM70">
        <v>-5.4817846320979129</v>
      </c>
      <c r="BN70">
        <v>6.522484249431642</v>
      </c>
      <c r="BO70">
        <v>3.1221960158779751</v>
      </c>
    </row>
    <row r="71" spans="1:67">
      <c r="A71" t="s">
        <v>915</v>
      </c>
      <c r="B71" t="s">
        <v>271</v>
      </c>
      <c r="C71" t="s">
        <v>784</v>
      </c>
      <c r="D71" t="s">
        <v>785</v>
      </c>
      <c r="F71">
        <v>5.1244148794123703</v>
      </c>
      <c r="G71">
        <v>4.9191469416503679</v>
      </c>
      <c r="H71">
        <v>2.1063682468113569</v>
      </c>
      <c r="I71">
        <v>7.4072453615161322</v>
      </c>
      <c r="J71">
        <v>3.2750824883219281</v>
      </c>
      <c r="K71">
        <v>-0.33952563935771707</v>
      </c>
      <c r="L71">
        <v>4.6210739407043633</v>
      </c>
      <c r="M71">
        <v>1.9094383992128883</v>
      </c>
      <c r="N71">
        <v>4.6692379803251214</v>
      </c>
      <c r="O71">
        <v>6.8719293298600945</v>
      </c>
      <c r="P71">
        <v>6.2926061962832307</v>
      </c>
      <c r="Q71">
        <v>5.0176407036024244</v>
      </c>
      <c r="R71">
        <v>13.950682132182465</v>
      </c>
      <c r="S71">
        <v>11.208509627647672</v>
      </c>
      <c r="T71">
        <v>10.972154001573259</v>
      </c>
      <c r="U71">
        <v>7.3971876193067203</v>
      </c>
      <c r="V71">
        <v>1.6048421117815366</v>
      </c>
      <c r="W71">
        <v>5.7068249445792105</v>
      </c>
      <c r="X71">
        <v>3.7340484012231059</v>
      </c>
      <c r="Y71">
        <v>3.7086829688621776</v>
      </c>
      <c r="Z71">
        <v>5.612864119590327</v>
      </c>
      <c r="AA71">
        <v>0.61484535364787973</v>
      </c>
      <c r="AB71">
        <v>-0.33686877098632806</v>
      </c>
      <c r="AC71">
        <v>2.625273268288737</v>
      </c>
      <c r="AD71">
        <v>3.9350014115187264</v>
      </c>
      <c r="AE71">
        <v>3.4647825158386212</v>
      </c>
      <c r="AF71">
        <v>-0.25909870835040749</v>
      </c>
      <c r="AG71">
        <v>5.8904672900015953</v>
      </c>
      <c r="AH71">
        <v>1.0057779461983216</v>
      </c>
      <c r="AI71">
        <v>3.6799140527841843</v>
      </c>
      <c r="AJ71">
        <v>4.2913423980209586</v>
      </c>
      <c r="AK71">
        <v>2.1143106751279959</v>
      </c>
      <c r="AL71">
        <v>1.9732180787518416</v>
      </c>
      <c r="AM71">
        <v>4.258250468212438</v>
      </c>
      <c r="AN71">
        <v>2.2525487742371553</v>
      </c>
      <c r="AO71">
        <v>1.7317475144795367</v>
      </c>
      <c r="AP71">
        <v>4.3278647643223138</v>
      </c>
      <c r="AQ71">
        <v>3.2665294037466595</v>
      </c>
      <c r="AR71">
        <v>-4.7393857908558772</v>
      </c>
      <c r="AS71">
        <v>1.0918015643575956</v>
      </c>
      <c r="AT71">
        <v>4.0156298995849227</v>
      </c>
      <c r="AU71">
        <v>4.096776658853571</v>
      </c>
      <c r="AV71">
        <v>2.7228773369547383</v>
      </c>
      <c r="AW71">
        <v>8.2110209173403774</v>
      </c>
      <c r="AX71">
        <v>5.2913082669940223</v>
      </c>
      <c r="AY71">
        <v>4.4035264338318569</v>
      </c>
      <c r="AZ71">
        <v>2.1900639722453974</v>
      </c>
      <c r="BA71">
        <v>6.3571305999083165</v>
      </c>
      <c r="BB71">
        <v>0.56649159210009259</v>
      </c>
      <c r="BC71">
        <v>3.5252986689402661</v>
      </c>
      <c r="BD71">
        <v>7.8681409191099618</v>
      </c>
      <c r="BE71">
        <v>5.6419620667119972</v>
      </c>
      <c r="BF71">
        <v>4.9465112669062563</v>
      </c>
      <c r="BG71">
        <v>3.7888685492083312</v>
      </c>
      <c r="BH71">
        <v>9.8872608346269431E-2</v>
      </c>
      <c r="BI71">
        <v>-1.2263839846387867</v>
      </c>
      <c r="BJ71">
        <v>2.3683865263365078</v>
      </c>
      <c r="BK71">
        <v>1.2892919329050159</v>
      </c>
      <c r="BL71">
        <v>1.2105102847655758E-2</v>
      </c>
      <c r="BM71">
        <v>-7.7876070909342161</v>
      </c>
      <c r="BN71">
        <v>4.2352512417257202</v>
      </c>
      <c r="BO71">
        <v>2.9476686329881687</v>
      </c>
    </row>
    <row r="72" spans="1:67">
      <c r="A72" t="s">
        <v>916</v>
      </c>
      <c r="B72" t="s">
        <v>917</v>
      </c>
      <c r="C72" t="s">
        <v>784</v>
      </c>
      <c r="D72" t="s">
        <v>785</v>
      </c>
      <c r="F72">
        <v>5.1611141431878025</v>
      </c>
      <c r="G72">
        <v>3.8756167236631853</v>
      </c>
      <c r="H72">
        <v>10.51809261752858</v>
      </c>
      <c r="I72">
        <v>11.507577474090596</v>
      </c>
      <c r="J72">
        <v>4.9140422921348801</v>
      </c>
      <c r="K72">
        <v>5.046403712593488</v>
      </c>
      <c r="L72">
        <v>0.80526412695746785</v>
      </c>
      <c r="M72">
        <v>-1.6067923495359508</v>
      </c>
      <c r="N72">
        <v>5.2795175135729835</v>
      </c>
      <c r="O72">
        <v>5.5985150384952647</v>
      </c>
      <c r="P72">
        <v>4.0573463265853604</v>
      </c>
      <c r="Q72">
        <v>3.0556806251247792</v>
      </c>
      <c r="R72">
        <v>3.5068301624596501</v>
      </c>
      <c r="S72">
        <v>1.5589385716766628</v>
      </c>
      <c r="T72">
        <v>8.9391471589507461</v>
      </c>
      <c r="U72">
        <v>13.279689443058487</v>
      </c>
      <c r="V72">
        <v>9.0030442666979411</v>
      </c>
      <c r="W72">
        <v>8.6287676449290416</v>
      </c>
      <c r="X72">
        <v>4.5476896284559274</v>
      </c>
      <c r="Y72">
        <v>10.011329037958433</v>
      </c>
      <c r="Z72">
        <v>7.3485538963137031</v>
      </c>
      <c r="AA72">
        <v>9.9071711339921933</v>
      </c>
      <c r="AB72">
        <v>5.0944068404398308</v>
      </c>
      <c r="AC72">
        <v>9.7457627117354804</v>
      </c>
      <c r="AD72">
        <v>5.7915057914360091</v>
      </c>
      <c r="AE72">
        <v>4.7445255473907508</v>
      </c>
      <c r="AF72">
        <v>3.8327526131990908</v>
      </c>
      <c r="AG72">
        <v>5.4613204955262518</v>
      </c>
      <c r="AH72">
        <v>4.9208686038548706</v>
      </c>
      <c r="AI72">
        <v>5.6670291571583391</v>
      </c>
      <c r="AJ72">
        <v>1.1254045936022834</v>
      </c>
      <c r="AK72">
        <v>4.4728591851619797</v>
      </c>
      <c r="AL72">
        <v>2.9007907986018324</v>
      </c>
      <c r="AM72">
        <v>3.973172181329133</v>
      </c>
      <c r="AN72">
        <v>4.6424587739577987</v>
      </c>
      <c r="AO72">
        <v>4.9887305658742349</v>
      </c>
      <c r="AP72">
        <v>5.4923547418143528</v>
      </c>
      <c r="AQ72">
        <v>5.5754974611919437</v>
      </c>
      <c r="AR72">
        <v>6.0534387828571283</v>
      </c>
      <c r="AS72">
        <v>6.3700038321282619</v>
      </c>
      <c r="AT72">
        <v>3.535251972641305</v>
      </c>
      <c r="AU72">
        <v>2.3902040259598891</v>
      </c>
      <c r="AV72">
        <v>3.1934547373974453</v>
      </c>
      <c r="AW72">
        <v>4.0920716112534024</v>
      </c>
      <c r="AX72">
        <v>4.4717444717443442</v>
      </c>
      <c r="AY72">
        <v>6.8438381937911714</v>
      </c>
      <c r="AZ72">
        <v>7.087827426810378</v>
      </c>
      <c r="BA72">
        <v>7.1562835660581925</v>
      </c>
      <c r="BB72">
        <v>4.6735997995239131</v>
      </c>
      <c r="BC72">
        <v>5.1472348575531015</v>
      </c>
      <c r="BD72">
        <v>1.7645719489981957</v>
      </c>
      <c r="BE72">
        <v>2.2261997986352497</v>
      </c>
      <c r="BF72">
        <v>2.1854660536214254</v>
      </c>
      <c r="BG72">
        <v>2.9159118798574752</v>
      </c>
      <c r="BH72">
        <v>4.3720190779014132</v>
      </c>
      <c r="BI72">
        <v>4.3466434555544708</v>
      </c>
      <c r="BJ72">
        <v>4.181220999947783</v>
      </c>
      <c r="BK72">
        <v>5.3311086189447963</v>
      </c>
      <c r="BL72">
        <v>5.5520930715695584</v>
      </c>
      <c r="BM72">
        <v>3.5501648378683797</v>
      </c>
      <c r="BN72">
        <v>3.2906460120221084</v>
      </c>
      <c r="BO72">
        <v>6.5878456088696709</v>
      </c>
    </row>
    <row r="73" spans="1:67">
      <c r="A73" t="s">
        <v>918</v>
      </c>
      <c r="B73" t="s">
        <v>919</v>
      </c>
      <c r="C73" t="s">
        <v>784</v>
      </c>
      <c r="D73" t="s">
        <v>785</v>
      </c>
      <c r="P73">
        <v>3.7729249634235629</v>
      </c>
      <c r="Q73">
        <v>4.8912209847153747</v>
      </c>
      <c r="R73">
        <v>6.1516306705124464</v>
      </c>
      <c r="S73">
        <v>3.2136937425455585</v>
      </c>
      <c r="T73">
        <v>-0.77262048747319056</v>
      </c>
      <c r="U73">
        <v>5.0271571555394559</v>
      </c>
      <c r="V73">
        <v>3.0856036398252229</v>
      </c>
      <c r="W73">
        <v>3.1235354397345532</v>
      </c>
      <c r="X73">
        <v>3.8734842893914703</v>
      </c>
      <c r="Y73">
        <v>2.1593133638014592</v>
      </c>
      <c r="Z73">
        <v>0.52385209884945994</v>
      </c>
      <c r="AA73">
        <v>0.71269119274175807</v>
      </c>
      <c r="AB73">
        <v>1.3902129086614394</v>
      </c>
      <c r="AC73">
        <v>2.3786631774814566</v>
      </c>
      <c r="AD73">
        <v>2.3128551874411585</v>
      </c>
      <c r="AE73">
        <v>2.5076324166424655</v>
      </c>
      <c r="AF73">
        <v>2.5334872700493634</v>
      </c>
      <c r="AG73">
        <v>4.3058819474719456</v>
      </c>
      <c r="AH73">
        <v>4.0995241729039549</v>
      </c>
      <c r="AI73">
        <v>3.6036551264269292</v>
      </c>
      <c r="AJ73">
        <v>2.6774098384964731</v>
      </c>
      <c r="AK73">
        <v>1.4176011820225369</v>
      </c>
      <c r="AL73">
        <v>-0.66158162588358493</v>
      </c>
      <c r="AM73">
        <v>2.4600681653954553</v>
      </c>
      <c r="AN73">
        <v>2.4200074736003785</v>
      </c>
      <c r="AO73">
        <v>1.6901617798418869</v>
      </c>
      <c r="AP73">
        <v>2.7073945146297831</v>
      </c>
      <c r="AQ73">
        <v>3.0360374049143104</v>
      </c>
      <c r="AR73">
        <v>2.9644820269415675</v>
      </c>
      <c r="AS73">
        <v>3.8648127614590067</v>
      </c>
      <c r="AT73">
        <v>2.1955552949982433</v>
      </c>
      <c r="AU73">
        <v>0.94001156689273557</v>
      </c>
      <c r="AV73">
        <v>0.682041520453879</v>
      </c>
      <c r="AW73">
        <v>2.2936020617291462</v>
      </c>
      <c r="AX73">
        <v>1.6811802739589439</v>
      </c>
      <c r="AY73">
        <v>3.230714598549639</v>
      </c>
      <c r="AZ73">
        <v>3.0014588550999406</v>
      </c>
      <c r="BA73">
        <v>0.41707865009112766</v>
      </c>
      <c r="BB73">
        <v>-4.5210949270164065</v>
      </c>
      <c r="BC73">
        <v>2.1802096886204509</v>
      </c>
      <c r="BD73">
        <v>1.7226832410975277</v>
      </c>
      <c r="BE73">
        <v>-0.84413899150391103</v>
      </c>
      <c r="BF73">
        <v>-0.21868641457622573</v>
      </c>
      <c r="BG73">
        <v>1.4058973530613201</v>
      </c>
      <c r="BH73">
        <v>2.0521909292474163</v>
      </c>
      <c r="BI73">
        <v>1.8577656116815149</v>
      </c>
      <c r="BJ73">
        <v>2.6255233869032963</v>
      </c>
      <c r="BK73">
        <v>1.7836458857511701</v>
      </c>
      <c r="BL73">
        <v>1.5819022549732153</v>
      </c>
      <c r="BM73">
        <v>-6.0962308575876705</v>
      </c>
      <c r="BN73">
        <v>5.9306499381472264</v>
      </c>
      <c r="BO73">
        <v>3.3720388546097695</v>
      </c>
    </row>
    <row r="74" spans="1:67">
      <c r="A74" t="s">
        <v>920</v>
      </c>
      <c r="B74" t="s">
        <v>921</v>
      </c>
      <c r="C74" t="s">
        <v>784</v>
      </c>
      <c r="D74" t="s">
        <v>785</v>
      </c>
      <c r="AL74">
        <v>13.454762500710203</v>
      </c>
      <c r="AM74">
        <v>21.221411187681355</v>
      </c>
      <c r="AN74">
        <v>2.8583790589486995</v>
      </c>
      <c r="AO74">
        <v>9.2588385634083181</v>
      </c>
      <c r="AP74">
        <v>7.9086845779407895</v>
      </c>
      <c r="AQ74">
        <v>1.7725830910031846</v>
      </c>
      <c r="AR74">
        <v>1.3480095910807677E-2</v>
      </c>
      <c r="AS74">
        <v>-3.1419859025163817</v>
      </c>
      <c r="AT74">
        <v>8.7554355281632468</v>
      </c>
      <c r="AU74">
        <v>3.0054291917378038</v>
      </c>
      <c r="AV74">
        <v>-2.6555159248755444</v>
      </c>
      <c r="AW74">
        <v>1.4517355659550617</v>
      </c>
      <c r="AX74">
        <v>2.5744495512484633</v>
      </c>
      <c r="AY74">
        <v>-0.96921711071135519</v>
      </c>
      <c r="AZ74">
        <v>1.4268222112032305</v>
      </c>
      <c r="BA74">
        <v>-9.7830300178245579</v>
      </c>
      <c r="BB74">
        <v>3.8765015275421035</v>
      </c>
      <c r="BC74">
        <v>2.1941903488808236</v>
      </c>
      <c r="BD74">
        <v>8.6798001013804935</v>
      </c>
    </row>
    <row r="75" spans="1:67">
      <c r="A75" t="s">
        <v>922</v>
      </c>
      <c r="B75" t="s">
        <v>923</v>
      </c>
      <c r="C75" t="s">
        <v>784</v>
      </c>
      <c r="D75" t="s">
        <v>785</v>
      </c>
      <c r="F75">
        <v>11.838674194833203</v>
      </c>
      <c r="G75">
        <v>9.9534381030179446</v>
      </c>
      <c r="H75">
        <v>9.5964988741976072</v>
      </c>
      <c r="I75">
        <v>5.3085102455715116</v>
      </c>
      <c r="J75">
        <v>6.253134898984996</v>
      </c>
      <c r="K75">
        <v>7.246060309507854</v>
      </c>
      <c r="L75">
        <v>4.3403384170748893</v>
      </c>
      <c r="M75">
        <v>6.5970201375831152</v>
      </c>
      <c r="N75">
        <v>8.9070155552709593</v>
      </c>
      <c r="O75">
        <v>4.289182956775889</v>
      </c>
      <c r="P75">
        <v>4.6494736874632423</v>
      </c>
      <c r="Q75">
        <v>8.1497458095246316</v>
      </c>
      <c r="R75">
        <v>7.7884653578951912</v>
      </c>
      <c r="S75">
        <v>5.61878571735528</v>
      </c>
      <c r="T75">
        <v>0.54220321435749952</v>
      </c>
      <c r="U75">
        <v>3.3037915722368751</v>
      </c>
      <c r="V75">
        <v>2.8385743338570393</v>
      </c>
      <c r="W75">
        <v>1.4630032360058607</v>
      </c>
      <c r="X75">
        <v>4.1546514629359876E-2</v>
      </c>
      <c r="Y75">
        <v>2.2087281072924725</v>
      </c>
      <c r="Z75">
        <v>-0.13246845198897006</v>
      </c>
      <c r="AA75">
        <v>1.2464616056333142</v>
      </c>
      <c r="AB75">
        <v>1.7701157399855987</v>
      </c>
      <c r="AC75">
        <v>1.7846875068689485</v>
      </c>
      <c r="AD75">
        <v>2.3214359458680605</v>
      </c>
      <c r="AE75">
        <v>3.2533217057731036</v>
      </c>
      <c r="AF75">
        <v>5.5471226194434564</v>
      </c>
      <c r="AG75">
        <v>5.0943242039635805</v>
      </c>
      <c r="AH75">
        <v>4.8270302706883825</v>
      </c>
      <c r="AI75">
        <v>3.7813935550846196</v>
      </c>
      <c r="AJ75">
        <v>2.546000584728219</v>
      </c>
      <c r="AK75">
        <v>0.92921531605381347</v>
      </c>
      <c r="AL75">
        <v>-1.0314917289191072</v>
      </c>
      <c r="AM75">
        <v>2.3831953263955228</v>
      </c>
      <c r="AN75">
        <v>2.7574940459830373</v>
      </c>
      <c r="AO75">
        <v>2.6605616042964471</v>
      </c>
      <c r="AP75">
        <v>3.7024946271661463</v>
      </c>
      <c r="AQ75">
        <v>4.3931007345225765</v>
      </c>
      <c r="AR75">
        <v>4.4905533784064033</v>
      </c>
      <c r="AS75">
        <v>5.2459438237780347</v>
      </c>
      <c r="AT75">
        <v>3.9330027648927199</v>
      </c>
      <c r="AU75">
        <v>2.7309483293099532</v>
      </c>
      <c r="AV75">
        <v>2.9819363164467205</v>
      </c>
      <c r="AW75">
        <v>3.1227335166262407</v>
      </c>
      <c r="AX75">
        <v>3.6520841919014373</v>
      </c>
      <c r="AY75">
        <v>4.1026857407270541</v>
      </c>
      <c r="AZ75">
        <v>3.6047384619981813</v>
      </c>
      <c r="BA75">
        <v>0.88706704557641558</v>
      </c>
      <c r="BB75">
        <v>-3.7631070424473023</v>
      </c>
      <c r="BC75">
        <v>0.16291951775822611</v>
      </c>
      <c r="BD75">
        <v>-0.81438477664892162</v>
      </c>
      <c r="BE75">
        <v>-2.9589221323002448</v>
      </c>
      <c r="BF75">
        <v>-1.4033418679063772</v>
      </c>
      <c r="BG75">
        <v>1.3957753672797537</v>
      </c>
      <c r="BH75">
        <v>3.8385188766748399</v>
      </c>
      <c r="BI75">
        <v>3.037774141724455</v>
      </c>
      <c r="BJ75">
        <v>2.9757607292486341</v>
      </c>
      <c r="BK75">
        <v>2.2844694194762241</v>
      </c>
      <c r="BL75">
        <v>1.9839662230883022</v>
      </c>
      <c r="BM75">
        <v>-11.167297859698323</v>
      </c>
      <c r="BN75">
        <v>6.4031736148454144</v>
      </c>
      <c r="BO75">
        <v>5.7706476761805163</v>
      </c>
    </row>
    <row r="76" spans="1:67">
      <c r="A76" t="s">
        <v>924</v>
      </c>
      <c r="B76" t="s">
        <v>925</v>
      </c>
      <c r="C76" t="s">
        <v>784</v>
      </c>
      <c r="D76" t="s">
        <v>785</v>
      </c>
      <c r="AO76">
        <v>4.9430144912670215</v>
      </c>
      <c r="AP76">
        <v>13.050014744183258</v>
      </c>
      <c r="AQ76">
        <v>4.3398255102615053</v>
      </c>
      <c r="AR76">
        <v>-0.42502515676211772</v>
      </c>
      <c r="AS76">
        <v>10.087634440695112</v>
      </c>
      <c r="AT76">
        <v>6.0036742510657319</v>
      </c>
      <c r="AU76">
        <v>6.7713679304361989</v>
      </c>
      <c r="AV76">
        <v>7.6002651850870677</v>
      </c>
      <c r="AW76">
        <v>6.8040077705013573</v>
      </c>
      <c r="AX76">
        <v>9.5264269716208787</v>
      </c>
      <c r="AY76">
        <v>9.7655833699770795</v>
      </c>
      <c r="AZ76">
        <v>7.5791405204676465</v>
      </c>
      <c r="BA76">
        <v>-5.132000957685193</v>
      </c>
      <c r="BB76">
        <v>-14.629055032422272</v>
      </c>
      <c r="BC76">
        <v>2.4442651179978441</v>
      </c>
      <c r="BD76">
        <v>7.2630845812869467</v>
      </c>
      <c r="BE76">
        <v>3.2282004935898101</v>
      </c>
      <c r="BF76">
        <v>1.4584286361599226</v>
      </c>
      <c r="BG76">
        <v>3.0113665865145549</v>
      </c>
      <c r="BH76">
        <v>1.8530200462934232</v>
      </c>
      <c r="BI76">
        <v>3.1555648143830837</v>
      </c>
      <c r="BJ76">
        <v>5.7920446746649361</v>
      </c>
      <c r="BK76">
        <v>3.7842008495282613</v>
      </c>
      <c r="BL76">
        <v>3.7397066816164539</v>
      </c>
      <c r="BM76">
        <v>-0.55100125774715991</v>
      </c>
      <c r="BN76">
        <v>8.0134629240084223</v>
      </c>
      <c r="BO76">
        <v>-1.2874113405043062</v>
      </c>
    </row>
    <row r="77" spans="1:67">
      <c r="A77" t="s">
        <v>926</v>
      </c>
      <c r="B77" t="s">
        <v>927</v>
      </c>
      <c r="C77" t="s">
        <v>784</v>
      </c>
      <c r="D77" t="s">
        <v>785</v>
      </c>
      <c r="AA77">
        <v>0.91601385673818925</v>
      </c>
      <c r="AB77">
        <v>8.2350057191368649</v>
      </c>
      <c r="AC77">
        <v>-2.8480214522147236</v>
      </c>
      <c r="AD77">
        <v>-11.144352977926459</v>
      </c>
      <c r="AE77">
        <v>9.6616123612220974</v>
      </c>
      <c r="AF77">
        <v>13.859330394974606</v>
      </c>
      <c r="AG77">
        <v>0.50367487929776189</v>
      </c>
      <c r="AH77">
        <v>-0.36104417975226966</v>
      </c>
      <c r="AI77">
        <v>2.7264517827265848</v>
      </c>
      <c r="AJ77">
        <v>-7.1374797002742838</v>
      </c>
      <c r="AK77">
        <v>-8.6724801478884217</v>
      </c>
      <c r="AL77">
        <v>13.142833976515362</v>
      </c>
      <c r="AM77">
        <v>3.1899645821796128</v>
      </c>
      <c r="AN77">
        <v>6.1275114137654469</v>
      </c>
      <c r="AO77">
        <v>12.426173777464555</v>
      </c>
      <c r="AP77">
        <v>3.1339068508759311</v>
      </c>
      <c r="AQ77">
        <v>-3.4581391337174239</v>
      </c>
      <c r="AR77">
        <v>5.162145821055347</v>
      </c>
      <c r="AS77">
        <v>6.0732174795795686</v>
      </c>
      <c r="AT77">
        <v>8.3013063205232811</v>
      </c>
      <c r="AU77">
        <v>1.5147257063110118</v>
      </c>
      <c r="AV77">
        <v>-2.1613597220579805</v>
      </c>
      <c r="AW77">
        <v>13.572603136869475</v>
      </c>
      <c r="AX77">
        <v>11.818765946649407</v>
      </c>
      <c r="AY77">
        <v>10.834727065876976</v>
      </c>
      <c r="AZ77">
        <v>11.456167000023612</v>
      </c>
      <c r="BA77">
        <v>10.788521685372515</v>
      </c>
      <c r="BB77">
        <v>8.8025531978256595</v>
      </c>
      <c r="BC77">
        <v>12.550538345930761</v>
      </c>
      <c r="BD77">
        <v>11.178296227164125</v>
      </c>
      <c r="BE77">
        <v>8.647811633374161</v>
      </c>
      <c r="BF77">
        <v>10.582270048267219</v>
      </c>
      <c r="BG77">
        <v>10.257492961005127</v>
      </c>
      <c r="BH77">
        <v>10.392463020233407</v>
      </c>
      <c r="BI77">
        <v>9.4334826578440243</v>
      </c>
      <c r="BJ77">
        <v>9.564189642956066</v>
      </c>
      <c r="BK77">
        <v>6.8161477968170345</v>
      </c>
      <c r="BL77">
        <v>8.364085699078899</v>
      </c>
      <c r="BM77">
        <v>6.0595308864336914</v>
      </c>
      <c r="BN77">
        <v>5.6415307173465692</v>
      </c>
      <c r="BO77">
        <v>5.3170960298916299</v>
      </c>
    </row>
    <row r="78" spans="1:67">
      <c r="A78" t="s">
        <v>928</v>
      </c>
      <c r="B78" t="s">
        <v>929</v>
      </c>
      <c r="C78" t="s">
        <v>784</v>
      </c>
      <c r="D78" t="s">
        <v>785</v>
      </c>
      <c r="P78">
        <v>3.6345723134005254</v>
      </c>
      <c r="Q78">
        <v>4.7597323541040737</v>
      </c>
      <c r="R78">
        <v>6.0090441510718335</v>
      </c>
      <c r="S78">
        <v>3.0957030689232852</v>
      </c>
      <c r="T78">
        <v>-0.66206831483836481</v>
      </c>
      <c r="U78">
        <v>4.8922466429246896</v>
      </c>
      <c r="V78">
        <v>2.8744295944123905</v>
      </c>
      <c r="W78">
        <v>3.050100146544807</v>
      </c>
      <c r="X78">
        <v>3.8721597031943418</v>
      </c>
      <c r="Y78">
        <v>2.0752015224818194</v>
      </c>
      <c r="Z78">
        <v>0.51195355647652718</v>
      </c>
      <c r="AA78">
        <v>0.81248254194470348</v>
      </c>
      <c r="AB78">
        <v>1.4489031776198544</v>
      </c>
      <c r="AC78">
        <v>2.4962660257088061</v>
      </c>
      <c r="AD78">
        <v>2.3528692235283586</v>
      </c>
      <c r="AE78">
        <v>2.5859540907138268</v>
      </c>
      <c r="AF78">
        <v>2.5202869166127755</v>
      </c>
      <c r="AG78">
        <v>4.1624270867259128</v>
      </c>
      <c r="AH78">
        <v>3.9180650260605745</v>
      </c>
      <c r="AI78">
        <v>3.3823845213216686</v>
      </c>
      <c r="AJ78">
        <v>1.858885752030119</v>
      </c>
      <c r="AK78">
        <v>1.1600296019217211</v>
      </c>
      <c r="AL78">
        <v>-0.57380895131176146</v>
      </c>
      <c r="AM78">
        <v>2.6522446223682863</v>
      </c>
      <c r="AN78">
        <v>2.6627974406312944</v>
      </c>
      <c r="AO78">
        <v>1.881368840486715</v>
      </c>
      <c r="AP78">
        <v>2.6531869630333347</v>
      </c>
      <c r="AQ78">
        <v>3.0107969880436514</v>
      </c>
      <c r="AR78">
        <v>2.9486918724750382</v>
      </c>
      <c r="AS78">
        <v>3.9005251555163056</v>
      </c>
      <c r="AT78">
        <v>2.1759092847481725</v>
      </c>
      <c r="AU78">
        <v>1.1107510078449394</v>
      </c>
      <c r="AV78">
        <v>0.90825133296125671</v>
      </c>
      <c r="AW78">
        <v>2.5925062830020096</v>
      </c>
      <c r="AX78">
        <v>1.9247422683400544</v>
      </c>
      <c r="AY78">
        <v>3.4944450796020874</v>
      </c>
      <c r="AZ78">
        <v>3.1561209445336829</v>
      </c>
      <c r="BA78">
        <v>0.64122644895196856</v>
      </c>
      <c r="BB78">
        <v>-4.3487103639860862</v>
      </c>
      <c r="BC78">
        <v>2.2245948885489639</v>
      </c>
      <c r="BD78">
        <v>1.9008424821277004</v>
      </c>
      <c r="BE78">
        <v>-0.70201125156845023</v>
      </c>
      <c r="BF78">
        <v>-8.2901486974137129E-2</v>
      </c>
      <c r="BG78">
        <v>1.600278724464971</v>
      </c>
      <c r="BH78">
        <v>2.3092189684509492</v>
      </c>
      <c r="BI78">
        <v>1.9717657120594083</v>
      </c>
      <c r="BJ78">
        <v>2.8450523732548589</v>
      </c>
      <c r="BK78">
        <v>2.0663170148774697</v>
      </c>
      <c r="BL78">
        <v>1.8050016687760433</v>
      </c>
      <c r="BM78">
        <v>-5.6512319299067144</v>
      </c>
      <c r="BN78">
        <v>6.010881744643612</v>
      </c>
      <c r="BO78">
        <v>3.4459620729814446</v>
      </c>
    </row>
    <row r="79" spans="1:67">
      <c r="A79" t="s">
        <v>930</v>
      </c>
      <c r="B79" t="s">
        <v>931</v>
      </c>
      <c r="C79" t="s">
        <v>784</v>
      </c>
      <c r="D79" t="s">
        <v>785</v>
      </c>
      <c r="N79">
        <v>13.205675482248935</v>
      </c>
      <c r="O79">
        <v>13.625737611069468</v>
      </c>
      <c r="P79">
        <v>9.5486131320576106</v>
      </c>
      <c r="Q79">
        <v>2.7050972712985129</v>
      </c>
      <c r="R79">
        <v>4.1541329604456507</v>
      </c>
      <c r="S79">
        <v>9.786297118129113</v>
      </c>
      <c r="T79">
        <v>-0.38772898320702609</v>
      </c>
      <c r="U79">
        <v>7.4309850857273005</v>
      </c>
      <c r="V79">
        <v>4.3419754747835952</v>
      </c>
      <c r="W79">
        <v>-1.2035696435771115</v>
      </c>
      <c r="X79">
        <v>5.7056267247535715</v>
      </c>
      <c r="Y79">
        <v>6.134181886896144</v>
      </c>
      <c r="Z79">
        <v>-4.0828372619311466</v>
      </c>
      <c r="AA79">
        <v>-1.1771820088899858</v>
      </c>
      <c r="AB79">
        <v>-4.7897290478898213</v>
      </c>
      <c r="AC79">
        <v>-0.65875753362288947</v>
      </c>
      <c r="AD79">
        <v>3.1655921513934544</v>
      </c>
      <c r="AE79">
        <v>2.0211187483278223</v>
      </c>
      <c r="AF79">
        <v>4.3005403927711257</v>
      </c>
      <c r="AG79">
        <v>3.2030139759306735</v>
      </c>
      <c r="AH79">
        <v>0.70473154210435496</v>
      </c>
      <c r="AI79">
        <v>5.0323520521494061</v>
      </c>
      <c r="AJ79">
        <v>-7.5648763537018198</v>
      </c>
      <c r="AK79">
        <v>0.68585845804069834</v>
      </c>
      <c r="AL79">
        <v>-1.5866260657289928</v>
      </c>
      <c r="AM79">
        <v>-3.8072447178310824</v>
      </c>
      <c r="AN79">
        <v>5.1807377415656219E-2</v>
      </c>
      <c r="AO79">
        <v>3.6026027255221464</v>
      </c>
      <c r="AP79">
        <v>4.945360968501106</v>
      </c>
      <c r="AQ79">
        <v>5.7550991868388479</v>
      </c>
      <c r="AR79">
        <v>3.3526868400291789</v>
      </c>
      <c r="AS79">
        <v>5.4518965399305159</v>
      </c>
      <c r="AT79">
        <v>4.2979110665579867</v>
      </c>
      <c r="AU79">
        <v>4.641405710986831</v>
      </c>
      <c r="AV79">
        <v>1.2330778681841252</v>
      </c>
      <c r="AW79">
        <v>11.058336681700226</v>
      </c>
      <c r="AX79">
        <v>5.8218688368092586</v>
      </c>
      <c r="AY79">
        <v>5.84253624616548</v>
      </c>
      <c r="AZ79">
        <v>5.9775524356385148</v>
      </c>
      <c r="BA79">
        <v>4.9933891517586204</v>
      </c>
      <c r="BB79">
        <v>2.8561850547791607</v>
      </c>
      <c r="BC79">
        <v>6.9180435579436761</v>
      </c>
      <c r="BD79">
        <v>-8.5306067189591772E-2</v>
      </c>
      <c r="BE79">
        <v>4.8925341390447841</v>
      </c>
      <c r="BF79">
        <v>3.4764525934478456</v>
      </c>
      <c r="BG79">
        <v>2.1492944723193972</v>
      </c>
      <c r="BH79">
        <v>1.0901015345992136</v>
      </c>
      <c r="BI79">
        <v>2.2055706552026209</v>
      </c>
      <c r="BJ79">
        <v>2.5000995936365769</v>
      </c>
      <c r="BK79">
        <v>2.5903644396683774</v>
      </c>
      <c r="BL79">
        <v>2.1739155016505833</v>
      </c>
      <c r="BM79">
        <v>-5.0405583471503377</v>
      </c>
      <c r="BN79">
        <v>2.4578743777301071</v>
      </c>
      <c r="BO79">
        <v>1.2056611401442581</v>
      </c>
    </row>
    <row r="80" spans="1:67">
      <c r="A80" t="s">
        <v>932</v>
      </c>
      <c r="B80" t="s">
        <v>933</v>
      </c>
      <c r="C80" t="s">
        <v>784</v>
      </c>
      <c r="D80" t="s">
        <v>785</v>
      </c>
      <c r="F80">
        <v>7.6046704792442625</v>
      </c>
      <c r="G80">
        <v>2.9819455361032539</v>
      </c>
      <c r="H80">
        <v>3.2850996357034035</v>
      </c>
      <c r="I80">
        <v>5.2386865978934622</v>
      </c>
      <c r="J80">
        <v>5.302857802282773</v>
      </c>
      <c r="K80">
        <v>2.3728230152816963</v>
      </c>
      <c r="L80">
        <v>2.1688288828741946</v>
      </c>
      <c r="M80">
        <v>2.3032899835567378</v>
      </c>
      <c r="N80">
        <v>9.5932877848003528</v>
      </c>
      <c r="O80">
        <v>4.813736796010943</v>
      </c>
      <c r="P80">
        <v>2.356921357599532</v>
      </c>
      <c r="Q80">
        <v>7.7354855019503788</v>
      </c>
      <c r="R80">
        <v>6.9838278447512465</v>
      </c>
      <c r="S80">
        <v>3.236533040285309</v>
      </c>
      <c r="T80">
        <v>1.8048982772672417</v>
      </c>
      <c r="U80">
        <v>0.34438248547492378</v>
      </c>
      <c r="V80">
        <v>0.23951082931115764</v>
      </c>
      <c r="W80">
        <v>2.9197074119354056</v>
      </c>
      <c r="X80">
        <v>7.1219263714912273</v>
      </c>
      <c r="Y80">
        <v>5.3890478802277784</v>
      </c>
      <c r="Z80">
        <v>1.3158788537491972</v>
      </c>
      <c r="AA80">
        <v>3.1080886930702718</v>
      </c>
      <c r="AB80">
        <v>3.1165815141662705</v>
      </c>
      <c r="AC80">
        <v>3.2376919958560393</v>
      </c>
      <c r="AD80">
        <v>3.54889658723026</v>
      </c>
      <c r="AE80">
        <v>2.7556334586149376</v>
      </c>
      <c r="AF80">
        <v>3.5748261383020719</v>
      </c>
      <c r="AG80">
        <v>5.2171503226572611</v>
      </c>
      <c r="AH80">
        <v>5.0871436741819878</v>
      </c>
      <c r="AI80">
        <v>0.67027584428976184</v>
      </c>
      <c r="AJ80">
        <v>-5.8863280694266678</v>
      </c>
      <c r="AK80">
        <v>-3.2946600657571423</v>
      </c>
      <c r="AL80">
        <v>-0.66199803041908467</v>
      </c>
      <c r="AM80">
        <v>3.9630524237012139</v>
      </c>
      <c r="AN80">
        <v>4.2168674698795314</v>
      </c>
      <c r="AO80">
        <v>3.6671798297847715</v>
      </c>
      <c r="AP80">
        <v>6.3337956541839873</v>
      </c>
      <c r="AQ80">
        <v>5.457180500658751</v>
      </c>
      <c r="AR80">
        <v>4.3795757227455709</v>
      </c>
      <c r="AS80">
        <v>5.7733624584816994</v>
      </c>
      <c r="AT80">
        <v>2.6100191239207362</v>
      </c>
      <c r="AU80">
        <v>1.7071489619806499</v>
      </c>
      <c r="AV80">
        <v>2.0037842028506105</v>
      </c>
      <c r="AW80">
        <v>3.9920912903208716</v>
      </c>
      <c r="AX80">
        <v>2.7798505555612252</v>
      </c>
      <c r="AY80">
        <v>4.0274096580257321</v>
      </c>
      <c r="AZ80">
        <v>5.2993365073902083</v>
      </c>
      <c r="BA80">
        <v>0.78399506087652071</v>
      </c>
      <c r="BB80">
        <v>-8.0744474323113025</v>
      </c>
      <c r="BC80">
        <v>3.1859586540770266</v>
      </c>
      <c r="BD80">
        <v>2.5476648384262717</v>
      </c>
      <c r="BE80">
        <v>-1.3975457281778176</v>
      </c>
      <c r="BF80">
        <v>-0.90169631619484392</v>
      </c>
      <c r="BG80">
        <v>-0.36490815688206624</v>
      </c>
      <c r="BH80">
        <v>0.54365921176548682</v>
      </c>
      <c r="BI80">
        <v>2.8114577666343337</v>
      </c>
      <c r="BJ80">
        <v>3.192409629684164</v>
      </c>
      <c r="BK80">
        <v>1.1397180134304961</v>
      </c>
      <c r="BL80">
        <v>1.2247489220622327</v>
      </c>
      <c r="BM80">
        <v>-2.354965156794421</v>
      </c>
      <c r="BN80">
        <v>2.8381796041803398</v>
      </c>
      <c r="BO80">
        <v>1.6343101025347408</v>
      </c>
    </row>
    <row r="81" spans="1:67">
      <c r="A81" t="s">
        <v>934</v>
      </c>
      <c r="B81" t="s">
        <v>935</v>
      </c>
      <c r="C81" t="s">
        <v>784</v>
      </c>
      <c r="D81" t="s">
        <v>785</v>
      </c>
      <c r="F81">
        <v>3.5175820027896236</v>
      </c>
      <c r="G81">
        <v>3.6061021458595235</v>
      </c>
      <c r="H81">
        <v>6.3587719682761019</v>
      </c>
      <c r="I81">
        <v>4.8772807333479875</v>
      </c>
      <c r="J81">
        <v>-2.7002669588781174</v>
      </c>
      <c r="K81">
        <v>0</v>
      </c>
      <c r="L81">
        <v>13.351828321404241</v>
      </c>
      <c r="M81">
        <v>7.9162215587623024</v>
      </c>
      <c r="N81">
        <v>2.596410512711401</v>
      </c>
      <c r="O81">
        <v>12.702711127905062</v>
      </c>
      <c r="P81">
        <v>6.8889866648806759</v>
      </c>
      <c r="Q81">
        <v>7.485276673390203</v>
      </c>
      <c r="R81">
        <v>11.612868505689036</v>
      </c>
      <c r="S81">
        <v>2.6011499097748896</v>
      </c>
      <c r="T81">
        <v>0.53021118912421628</v>
      </c>
      <c r="U81">
        <v>2.7361632474302269</v>
      </c>
      <c r="V81">
        <v>5.9040118422699805</v>
      </c>
      <c r="W81">
        <v>1.8634014508879488</v>
      </c>
      <c r="X81">
        <v>12.224819769670532</v>
      </c>
      <c r="Y81">
        <v>-1.6034569351729147</v>
      </c>
      <c r="Z81">
        <v>6.3299905489136847</v>
      </c>
      <c r="AA81">
        <v>-5.9784862003210009</v>
      </c>
      <c r="AB81">
        <v>-3.9601230102399683</v>
      </c>
      <c r="AC81">
        <v>8.3930244723568563</v>
      </c>
      <c r="AD81">
        <v>-4.6134748681464544</v>
      </c>
      <c r="AE81">
        <v>7.7499079670327831</v>
      </c>
      <c r="AF81">
        <v>-6.6150199951141957</v>
      </c>
      <c r="AG81">
        <v>0.95575487281516303</v>
      </c>
      <c r="AH81">
        <v>7.4386324348911614</v>
      </c>
      <c r="AI81">
        <v>5.8000027198299051</v>
      </c>
      <c r="AJ81">
        <v>-2.7000037291636971</v>
      </c>
      <c r="AK81">
        <v>6.1000019098767808</v>
      </c>
      <c r="AL81">
        <v>2.1300324213827366</v>
      </c>
      <c r="AM81">
        <v>5.0999996085217418</v>
      </c>
      <c r="AN81">
        <v>2.4999985384687164</v>
      </c>
      <c r="AO81">
        <v>4.8000004302096215</v>
      </c>
      <c r="AP81">
        <v>-2.1999993686925023</v>
      </c>
      <c r="AQ81">
        <v>1.3000004515381107</v>
      </c>
      <c r="AR81">
        <v>8.799998719272395</v>
      </c>
      <c r="AS81">
        <v>-1.6999984160551094</v>
      </c>
      <c r="AT81">
        <v>2.0000001467520576</v>
      </c>
      <c r="AU81">
        <v>3.1999991137326731</v>
      </c>
      <c r="AV81">
        <v>0.99999934475729901</v>
      </c>
      <c r="AW81">
        <v>5.2999997046093483</v>
      </c>
      <c r="AX81">
        <v>0.70000040243243689</v>
      </c>
      <c r="AY81">
        <v>1.8524838719948633</v>
      </c>
      <c r="AZ81">
        <v>-0.85065431004582592</v>
      </c>
      <c r="BA81">
        <v>1.0327942202596745</v>
      </c>
      <c r="BB81">
        <v>-1.3860377076358077</v>
      </c>
      <c r="BC81">
        <v>2.9546724221224139</v>
      </c>
      <c r="BD81">
        <v>2.7051430290104861</v>
      </c>
      <c r="BE81">
        <v>1.4113143817796754</v>
      </c>
      <c r="BF81">
        <v>4.7342194895653193</v>
      </c>
      <c r="BG81">
        <v>5.6035148874531018</v>
      </c>
      <c r="BH81">
        <v>4.5011993922279316</v>
      </c>
      <c r="BI81">
        <v>2.4456520076996782</v>
      </c>
      <c r="BJ81">
        <v>5.3533649370696565</v>
      </c>
      <c r="BK81">
        <v>3.8123509704722096</v>
      </c>
      <c r="BL81">
        <v>-0.58050425878563772</v>
      </c>
      <c r="BM81">
        <v>-17.039870908607725</v>
      </c>
      <c r="BN81">
        <v>-4.8810360557838814</v>
      </c>
      <c r="BO81">
        <v>20.016463681323302</v>
      </c>
    </row>
    <row r="82" spans="1:67">
      <c r="A82" t="s">
        <v>697</v>
      </c>
      <c r="B82" t="s">
        <v>936</v>
      </c>
      <c r="C82" t="s">
        <v>784</v>
      </c>
      <c r="D82" t="s">
        <v>785</v>
      </c>
      <c r="F82">
        <v>4.980111849138396</v>
      </c>
      <c r="G82">
        <v>6.8434699852358563</v>
      </c>
      <c r="H82">
        <v>6.2336799520917907</v>
      </c>
      <c r="I82">
        <v>6.6520995076007239</v>
      </c>
      <c r="J82">
        <v>4.861507695806381</v>
      </c>
      <c r="K82">
        <v>5.2518370456608636</v>
      </c>
      <c r="L82">
        <v>4.9211489152846326</v>
      </c>
      <c r="M82">
        <v>4.4913088857900618</v>
      </c>
      <c r="N82">
        <v>7.1094753448523562</v>
      </c>
      <c r="O82">
        <v>6.1086798128515198</v>
      </c>
      <c r="P82">
        <v>5.3168390764388676</v>
      </c>
      <c r="Q82">
        <v>4.5113688577606013</v>
      </c>
      <c r="R82">
        <v>6.3444615444605148</v>
      </c>
      <c r="S82">
        <v>4.3009191430828366</v>
      </c>
      <c r="T82">
        <v>-0.95988474622309639</v>
      </c>
      <c r="U82">
        <v>4.3567589027683624</v>
      </c>
      <c r="V82">
        <v>3.4643120042878479</v>
      </c>
      <c r="W82">
        <v>3.9785437223583955</v>
      </c>
      <c r="X82">
        <v>3.5499891566924191</v>
      </c>
      <c r="Y82">
        <v>1.578745259905844</v>
      </c>
      <c r="Z82">
        <v>1.0690198385372724</v>
      </c>
      <c r="AA82">
        <v>2.5053966163757906</v>
      </c>
      <c r="AB82">
        <v>1.2408648621155862</v>
      </c>
      <c r="AC82">
        <v>1.5137216034431589</v>
      </c>
      <c r="AD82">
        <v>1.6227813671579412</v>
      </c>
      <c r="AE82">
        <v>2.3372763497996942</v>
      </c>
      <c r="AF82">
        <v>2.561900334501189</v>
      </c>
      <c r="AG82">
        <v>4.7431421935648359</v>
      </c>
      <c r="AH82">
        <v>4.343861062676126</v>
      </c>
      <c r="AI82">
        <v>2.9239350812307379</v>
      </c>
      <c r="AJ82">
        <v>1.0481758470443481</v>
      </c>
      <c r="AK82">
        <v>1.5993426768712737</v>
      </c>
      <c r="AL82">
        <v>-0.62866635190543718</v>
      </c>
      <c r="AM82">
        <v>2.3584084392157365</v>
      </c>
      <c r="AN82">
        <v>2.1066291581006311</v>
      </c>
      <c r="AO82">
        <v>1.4129936725000221</v>
      </c>
      <c r="AP82">
        <v>2.3362965293794389</v>
      </c>
      <c r="AQ82">
        <v>3.5886594253542654</v>
      </c>
      <c r="AR82">
        <v>3.421373798824547</v>
      </c>
      <c r="AS82">
        <v>3.9236692270406337</v>
      </c>
      <c r="AT82">
        <v>1.9837214186329248</v>
      </c>
      <c r="AU82">
        <v>1.135531482146007</v>
      </c>
      <c r="AV82">
        <v>0.8231607566841177</v>
      </c>
      <c r="AW82">
        <v>2.8297529286989089</v>
      </c>
      <c r="AX82">
        <v>1.663219980300795</v>
      </c>
      <c r="AY82">
        <v>2.4493236011188486</v>
      </c>
      <c r="AZ82">
        <v>2.4247362433730473</v>
      </c>
      <c r="BA82">
        <v>0.25494596012403292</v>
      </c>
      <c r="BB82">
        <v>-2.8733138284963218</v>
      </c>
      <c r="BC82">
        <v>1.9494376231266273</v>
      </c>
      <c r="BD82">
        <v>2.1927006326665435</v>
      </c>
      <c r="BE82">
        <v>0.31313475107717181</v>
      </c>
      <c r="BF82">
        <v>0.57632667477179211</v>
      </c>
      <c r="BG82">
        <v>0.9561830523715571</v>
      </c>
      <c r="BH82">
        <v>1.1129123405746952</v>
      </c>
      <c r="BI82">
        <v>1.0954644037204844</v>
      </c>
      <c r="BJ82">
        <v>2.2914199941702122</v>
      </c>
      <c r="BK82">
        <v>1.8650660708199922</v>
      </c>
      <c r="BL82">
        <v>1.8429718144589629</v>
      </c>
      <c r="BM82">
        <v>-7.5404591624940736</v>
      </c>
      <c r="BN82">
        <v>6.4352096210493812</v>
      </c>
      <c r="BO82">
        <v>2.4547581766070721</v>
      </c>
    </row>
    <row r="83" spans="1:67">
      <c r="A83" t="s">
        <v>937</v>
      </c>
      <c r="B83" t="s">
        <v>938</v>
      </c>
      <c r="C83" t="s">
        <v>784</v>
      </c>
      <c r="D83" t="s">
        <v>785</v>
      </c>
      <c r="BB83">
        <v>-4.303002162020988</v>
      </c>
      <c r="BC83">
        <v>-0.57693911434918732</v>
      </c>
      <c r="BD83">
        <v>3.7081941712037434</v>
      </c>
      <c r="BE83">
        <v>7.0166537994926585</v>
      </c>
      <c r="BF83">
        <v>5.8530519141451549</v>
      </c>
      <c r="BG83">
        <v>5.4327013572017364</v>
      </c>
      <c r="BH83">
        <v>0.9763785344472069</v>
      </c>
      <c r="BI83">
        <v>1.4699158044908529</v>
      </c>
      <c r="BJ83">
        <v>3.5143059711356841</v>
      </c>
      <c r="BK83">
        <v>2.7315521554651383</v>
      </c>
      <c r="BL83">
        <v>4.3901033397555835</v>
      </c>
      <c r="BM83">
        <v>-1.9268344167266491</v>
      </c>
      <c r="BN83">
        <v>5.7555505273207928</v>
      </c>
      <c r="BO83">
        <v>5.3984803890871831</v>
      </c>
    </row>
    <row r="84" spans="1:67">
      <c r="A84" t="s">
        <v>939</v>
      </c>
      <c r="B84" t="s">
        <v>940</v>
      </c>
      <c r="C84" t="s">
        <v>784</v>
      </c>
      <c r="D84" t="s">
        <v>785</v>
      </c>
      <c r="AF84">
        <v>1.1997600479904094</v>
      </c>
      <c r="AG84">
        <v>2.5489033787788884</v>
      </c>
      <c r="AH84">
        <v>3.5260115606936324</v>
      </c>
      <c r="AI84">
        <v>3.7409268565047569</v>
      </c>
      <c r="AJ84">
        <v>7.427341227125936</v>
      </c>
      <c r="AK84">
        <v>4.008016032064134</v>
      </c>
      <c r="AL84">
        <v>8.1406551059730106</v>
      </c>
      <c r="AM84">
        <v>-0.53452115812918066</v>
      </c>
      <c r="AN84">
        <v>7.0144648454993188</v>
      </c>
      <c r="AO84">
        <v>-3.182371518973838</v>
      </c>
      <c r="AP84">
        <v>-6.0609374365162978</v>
      </c>
      <c r="AQ84">
        <v>2.8505158599975005</v>
      </c>
      <c r="AR84">
        <v>1.3744383896125498</v>
      </c>
      <c r="AS84">
        <v>4.8339037861711063</v>
      </c>
      <c r="AT84">
        <v>2.1676024405049077</v>
      </c>
      <c r="AU84">
        <v>0.54699767249934439</v>
      </c>
      <c r="AV84">
        <v>1.5721150674310849</v>
      </c>
      <c r="AW84">
        <v>-3.0801530474747381</v>
      </c>
      <c r="AX84">
        <v>2.0418671639554447</v>
      </c>
      <c r="AY84">
        <v>-8.105529341648321E-2</v>
      </c>
      <c r="AZ84">
        <v>-1.8361852940239771</v>
      </c>
      <c r="BA84">
        <v>-2.40849258666222</v>
      </c>
      <c r="BB84">
        <v>1.0930992410524567</v>
      </c>
      <c r="BC84">
        <v>2.2593899558593193</v>
      </c>
      <c r="BD84">
        <v>3.1885747547392782</v>
      </c>
      <c r="BE84">
        <v>-1.8668197547554399</v>
      </c>
      <c r="BF84">
        <v>-3.6797677907348287</v>
      </c>
      <c r="BG84">
        <v>-2.3057757452932464</v>
      </c>
      <c r="BH84">
        <v>4.6218840040493916</v>
      </c>
      <c r="BI84">
        <v>0.90018041651693181</v>
      </c>
      <c r="BJ84">
        <v>2.6821859444555116</v>
      </c>
      <c r="BK84">
        <v>0.21165360012676615</v>
      </c>
      <c r="BL84">
        <v>1.1747992282974593</v>
      </c>
      <c r="BM84">
        <v>-2.7677341614740527</v>
      </c>
      <c r="BN84">
        <v>-2.0242914979757103</v>
      </c>
      <c r="BO84">
        <v>-0.8264462809917319</v>
      </c>
    </row>
    <row r="85" spans="1:67">
      <c r="A85" t="s">
        <v>941</v>
      </c>
      <c r="B85" t="s">
        <v>942</v>
      </c>
      <c r="C85" t="s">
        <v>784</v>
      </c>
      <c r="D85" t="s">
        <v>785</v>
      </c>
      <c r="F85">
        <v>14.766843186833214</v>
      </c>
      <c r="G85">
        <v>7.4492115968867125</v>
      </c>
      <c r="H85">
        <v>6.0924352840359859</v>
      </c>
      <c r="I85">
        <v>4.5544536344038562</v>
      </c>
      <c r="J85">
        <v>8.3333356604117057</v>
      </c>
      <c r="K85">
        <v>4.5080045667000377</v>
      </c>
      <c r="L85">
        <v>4.1151528542629308</v>
      </c>
      <c r="M85">
        <v>2.5088008805875575</v>
      </c>
      <c r="N85">
        <v>8.0829104338171476</v>
      </c>
      <c r="O85">
        <v>8.6793421755607056</v>
      </c>
      <c r="P85">
        <v>10.258730911689852</v>
      </c>
      <c r="Q85">
        <v>11.336970683066184</v>
      </c>
      <c r="R85">
        <v>10.1824336186273</v>
      </c>
      <c r="S85">
        <v>39.487095178844839</v>
      </c>
      <c r="T85">
        <v>19.190114910001682</v>
      </c>
      <c r="U85">
        <v>35.625337969777462</v>
      </c>
      <c r="V85">
        <v>-12.582091168196015</v>
      </c>
      <c r="W85">
        <v>-24.049206070007315</v>
      </c>
      <c r="X85">
        <v>0.47440527972284485</v>
      </c>
      <c r="Y85">
        <v>2.5529371576521669</v>
      </c>
      <c r="Z85">
        <v>5.0953292789578626</v>
      </c>
      <c r="AA85">
        <v>-3.0975203978053401</v>
      </c>
      <c r="AB85">
        <v>5.6082406792530293</v>
      </c>
      <c r="AC85">
        <v>7.5089023083957755</v>
      </c>
      <c r="AD85">
        <v>-2.3329493326941559</v>
      </c>
      <c r="AE85">
        <v>-0.80359773390293299</v>
      </c>
      <c r="AF85">
        <v>-17.146042214897562</v>
      </c>
      <c r="AG85">
        <v>12.845353248086738</v>
      </c>
      <c r="AH85">
        <v>8.545309989825455</v>
      </c>
      <c r="AI85">
        <v>5.1922372765239828</v>
      </c>
      <c r="AJ85">
        <v>6.1125034830117784</v>
      </c>
      <c r="AK85">
        <v>-3.0901456515439349</v>
      </c>
      <c r="AL85">
        <v>3.9465550079024183</v>
      </c>
      <c r="AM85">
        <v>3.7127548410896622</v>
      </c>
      <c r="AN85">
        <v>4.9738477633510314</v>
      </c>
      <c r="AO85">
        <v>3.6250490202798744</v>
      </c>
      <c r="AP85">
        <v>5.7383673948384342</v>
      </c>
      <c r="AQ85">
        <v>3.4778335871890107</v>
      </c>
      <c r="AR85">
        <v>-8.9326228023010543</v>
      </c>
      <c r="AS85">
        <v>-1.8829663976089677</v>
      </c>
      <c r="AT85">
        <v>2.1352334219742346</v>
      </c>
      <c r="AU85">
        <v>-0.24903316854343416</v>
      </c>
      <c r="AV85">
        <v>2.2473300115045021</v>
      </c>
      <c r="AW85">
        <v>0.68954305846484942</v>
      </c>
      <c r="AX85">
        <v>2.6762033331092567</v>
      </c>
      <c r="AY85">
        <v>-2.8065783556905188</v>
      </c>
      <c r="AZ85">
        <v>6.0081080248766767</v>
      </c>
      <c r="BA85">
        <v>-3.3084306487875068</v>
      </c>
      <c r="BB85">
        <v>0.13033111981661705</v>
      </c>
      <c r="BC85">
        <v>7.0898873145512624</v>
      </c>
      <c r="BD85">
        <v>7.0917533425865429</v>
      </c>
      <c r="BE85">
        <v>5.251076917504065</v>
      </c>
      <c r="BF85">
        <v>5.6386990033869608</v>
      </c>
      <c r="BG85">
        <v>4.314964441074693</v>
      </c>
      <c r="BH85">
        <v>3.8788993950789035</v>
      </c>
      <c r="BI85">
        <v>2.0914422082956179</v>
      </c>
      <c r="BJ85">
        <v>0.47264203091114609</v>
      </c>
      <c r="BK85">
        <v>0.83791658082157028</v>
      </c>
      <c r="BL85">
        <v>3.9208087945283125</v>
      </c>
      <c r="BM85">
        <v>-1.8377610635094044</v>
      </c>
      <c r="BN85">
        <v>1.5268201342170329</v>
      </c>
      <c r="BO85">
        <v>2.9080434126210122</v>
      </c>
    </row>
    <row r="86" spans="1:67">
      <c r="A86" t="s">
        <v>695</v>
      </c>
      <c r="B86" t="s">
        <v>943</v>
      </c>
      <c r="C86" t="s">
        <v>784</v>
      </c>
      <c r="D86" t="s">
        <v>785</v>
      </c>
      <c r="F86">
        <v>2.6771189434537206</v>
      </c>
      <c r="G86">
        <v>1.1029096492187023</v>
      </c>
      <c r="H86">
        <v>4.8743839976477972</v>
      </c>
      <c r="I86">
        <v>5.5336593860234871</v>
      </c>
      <c r="J86">
        <v>2.1421765435456877</v>
      </c>
      <c r="K86">
        <v>1.5731004140522344</v>
      </c>
      <c r="L86">
        <v>2.7864746416750705</v>
      </c>
      <c r="M86">
        <v>5.441083437661149</v>
      </c>
      <c r="N86">
        <v>1.9240968346989433</v>
      </c>
      <c r="O86">
        <v>4.3088859845499883</v>
      </c>
      <c r="P86">
        <v>3.504717430861362</v>
      </c>
      <c r="Q86">
        <v>4.3216675885518185</v>
      </c>
      <c r="R86">
        <v>6.5238484166543458</v>
      </c>
      <c r="S86">
        <v>-2.4844038971205862</v>
      </c>
      <c r="T86">
        <v>-1.4736494864340415</v>
      </c>
      <c r="U86">
        <v>2.9102661060475157</v>
      </c>
      <c r="V86">
        <v>2.4577505174391234</v>
      </c>
      <c r="W86">
        <v>4.2042605334800385</v>
      </c>
      <c r="X86">
        <v>3.7490165937303885</v>
      </c>
      <c r="Y86">
        <v>-2.0313678200471514</v>
      </c>
      <c r="Z86">
        <v>-0.78774388945535634</v>
      </c>
      <c r="AA86">
        <v>1.9948913343454535</v>
      </c>
      <c r="AB86">
        <v>4.2218563127984083</v>
      </c>
      <c r="AC86">
        <v>2.2691051721794651</v>
      </c>
      <c r="AD86">
        <v>4.1474149497433501</v>
      </c>
      <c r="AE86">
        <v>3.1503406295993557</v>
      </c>
      <c r="AF86">
        <v>5.3927382668522768</v>
      </c>
      <c r="AG86">
        <v>5.7324136017404896</v>
      </c>
      <c r="AH86">
        <v>2.5776028214447706</v>
      </c>
      <c r="AI86">
        <v>0.73375549592530831</v>
      </c>
      <c r="AJ86">
        <v>-1.1031216582773453</v>
      </c>
      <c r="AK86">
        <v>0.40108203037701173</v>
      </c>
      <c r="AL86">
        <v>2.4898310195562203</v>
      </c>
      <c r="AM86">
        <v>3.8460091610873093</v>
      </c>
      <c r="AN86">
        <v>2.5316700451303547</v>
      </c>
      <c r="AO86">
        <v>2.5820225291491425</v>
      </c>
      <c r="AP86">
        <v>4.924928651695339</v>
      </c>
      <c r="AQ86">
        <v>3.4142698737539661</v>
      </c>
      <c r="AR86">
        <v>3.0661761249922534</v>
      </c>
      <c r="AS86">
        <v>4.3187270581210413</v>
      </c>
      <c r="AT86">
        <v>2.5787410460364981</v>
      </c>
      <c r="AU86">
        <v>1.7919856160727221</v>
      </c>
      <c r="AV86">
        <v>3.1465725283096333</v>
      </c>
      <c r="AW86">
        <v>2.4264965491200172</v>
      </c>
      <c r="AX86">
        <v>2.7388424037973351</v>
      </c>
      <c r="AY86">
        <v>2.3862753679297413</v>
      </c>
      <c r="AZ86">
        <v>2.6203312221865644</v>
      </c>
      <c r="BA86">
        <v>-0.22572697476458359</v>
      </c>
      <c r="BB86">
        <v>-4.6149574024255173</v>
      </c>
      <c r="BC86">
        <v>2.2386886338141494</v>
      </c>
      <c r="BD86">
        <v>1.1451015409866159</v>
      </c>
      <c r="BE86">
        <v>1.5129367492999108</v>
      </c>
      <c r="BF86">
        <v>1.7923222159081291</v>
      </c>
      <c r="BG86">
        <v>3.1957824656192173</v>
      </c>
      <c r="BH86">
        <v>2.220258322227096</v>
      </c>
      <c r="BI86">
        <v>1.9210634135701952</v>
      </c>
      <c r="BJ86">
        <v>2.6550696681192818</v>
      </c>
      <c r="BK86">
        <v>1.4037920858856836</v>
      </c>
      <c r="BL86">
        <v>1.6416109962887617</v>
      </c>
      <c r="BM86">
        <v>-10.359900818779863</v>
      </c>
      <c r="BN86">
        <v>8.6749041144257291</v>
      </c>
      <c r="BO86">
        <v>4.346561400891531</v>
      </c>
    </row>
    <row r="87" spans="1:67">
      <c r="A87" t="s">
        <v>944</v>
      </c>
      <c r="B87" t="s">
        <v>945</v>
      </c>
      <c r="C87" t="s">
        <v>784</v>
      </c>
      <c r="D87" t="s">
        <v>785</v>
      </c>
      <c r="K87">
        <v>7.5356312935316794</v>
      </c>
      <c r="L87">
        <v>6.2499995422267745</v>
      </c>
      <c r="M87">
        <v>4.4563348133172269</v>
      </c>
      <c r="N87">
        <v>4.778149722892806</v>
      </c>
      <c r="O87">
        <v>12.052116246489604</v>
      </c>
      <c r="P87">
        <v>2.4709361270037107</v>
      </c>
      <c r="Q87">
        <v>2.8368738079910258</v>
      </c>
      <c r="R87">
        <v>6.482761547015258</v>
      </c>
      <c r="S87">
        <v>8.8082934096107408</v>
      </c>
      <c r="T87">
        <v>7.3809453009056654</v>
      </c>
      <c r="U87">
        <v>6.0975642334440323</v>
      </c>
      <c r="V87">
        <v>6.8965501591246294</v>
      </c>
      <c r="W87">
        <v>7.429127694022398</v>
      </c>
      <c r="X87">
        <v>7.3703460693994174</v>
      </c>
      <c r="Y87">
        <v>4.576266276400446</v>
      </c>
      <c r="Z87">
        <v>5.2674236555569962</v>
      </c>
      <c r="AA87">
        <v>2.0015385416908487</v>
      </c>
      <c r="AB87">
        <v>4.3018868446915945</v>
      </c>
      <c r="AC87">
        <v>5.4269229686346137</v>
      </c>
      <c r="AD87">
        <v>4.9416554201326335</v>
      </c>
      <c r="AE87">
        <v>-8.1752758913186483</v>
      </c>
      <c r="AF87">
        <v>1.2820428463811595</v>
      </c>
      <c r="AG87">
        <v>5.5555580797822586</v>
      </c>
      <c r="AH87">
        <v>-7.1952018949027234</v>
      </c>
      <c r="AI87">
        <v>-14.788225900517631</v>
      </c>
      <c r="AJ87">
        <v>-21.100000727839827</v>
      </c>
      <c r="AK87">
        <v>-44.899999456532782</v>
      </c>
      <c r="AL87">
        <v>-29.300001972657768</v>
      </c>
      <c r="AM87">
        <v>-10.399993971727653</v>
      </c>
      <c r="AN87">
        <v>2.5999967243372168</v>
      </c>
      <c r="AO87">
        <v>11.200002007543702</v>
      </c>
      <c r="AP87">
        <v>10.519041221783709</v>
      </c>
      <c r="AQ87">
        <v>3.1049027177783302</v>
      </c>
      <c r="AR87">
        <v>2.8692570442772052</v>
      </c>
      <c r="AS87">
        <v>1.8383410661422062</v>
      </c>
      <c r="AT87">
        <v>4.8054532725550132</v>
      </c>
      <c r="AU87">
        <v>5.4738368011959295</v>
      </c>
      <c r="AV87">
        <v>11.058723193664605</v>
      </c>
      <c r="AW87">
        <v>5.794496345698505</v>
      </c>
      <c r="AX87">
        <v>9.58957406160836</v>
      </c>
      <c r="AY87">
        <v>9.4197706475973604</v>
      </c>
      <c r="AZ87">
        <v>12.578953430897343</v>
      </c>
      <c r="BA87">
        <v>2.4185716590417172</v>
      </c>
      <c r="BB87">
        <v>-3.6505136306939363</v>
      </c>
      <c r="BC87">
        <v>6.232310183058857</v>
      </c>
      <c r="BD87">
        <v>7.3606616183317612</v>
      </c>
      <c r="BE87">
        <v>6.4167766794534629</v>
      </c>
      <c r="BF87">
        <v>3.6155537186264581</v>
      </c>
      <c r="BG87">
        <v>4.4415484043300921</v>
      </c>
      <c r="BH87">
        <v>3.0265766168747774</v>
      </c>
      <c r="BI87">
        <v>2.9064387800206362</v>
      </c>
      <c r="BJ87">
        <v>4.8426032249658562</v>
      </c>
      <c r="BK87">
        <v>4.8429198850662658</v>
      </c>
      <c r="BL87">
        <v>4.9823504751110619</v>
      </c>
      <c r="BM87">
        <v>-6.760439817055186</v>
      </c>
      <c r="BN87">
        <v>10.465537197705572</v>
      </c>
      <c r="BO87">
        <v>10.393493163789856</v>
      </c>
    </row>
    <row r="88" spans="1:67">
      <c r="A88" t="s">
        <v>946</v>
      </c>
      <c r="B88" t="s">
        <v>947</v>
      </c>
      <c r="C88" t="s">
        <v>784</v>
      </c>
      <c r="D88" t="s">
        <v>785</v>
      </c>
      <c r="F88">
        <v>3.4296740146287448</v>
      </c>
      <c r="G88">
        <v>4.1091586062577363</v>
      </c>
      <c r="H88">
        <v>4.4059741994364714</v>
      </c>
      <c r="I88">
        <v>2.2093275018463885</v>
      </c>
      <c r="J88">
        <v>1.368998869709543</v>
      </c>
      <c r="K88">
        <v>-4.258290369720072</v>
      </c>
      <c r="L88">
        <v>3.0753640500780932</v>
      </c>
      <c r="M88">
        <v>0.36886032865963614</v>
      </c>
      <c r="N88">
        <v>6.0061749662476842</v>
      </c>
      <c r="O88">
        <v>9.7234725870862775</v>
      </c>
      <c r="P88">
        <v>5.2161245570605956</v>
      </c>
      <c r="Q88">
        <v>-2.4876554021492865</v>
      </c>
      <c r="R88">
        <v>2.8845841948016044</v>
      </c>
      <c r="S88">
        <v>6.8525168322058505</v>
      </c>
      <c r="T88">
        <v>-12.431629021459727</v>
      </c>
      <c r="U88">
        <v>-3.5301828062753629</v>
      </c>
      <c r="V88">
        <v>2.2741072416995678</v>
      </c>
      <c r="W88">
        <v>8.4759356023217123</v>
      </c>
      <c r="X88">
        <v>-2.5149414195930149</v>
      </c>
      <c r="Y88">
        <v>0.47169594317210795</v>
      </c>
      <c r="Z88">
        <v>-3.5030669469670528</v>
      </c>
      <c r="AA88">
        <v>-6.9236504105538899</v>
      </c>
      <c r="AB88">
        <v>-4.5637375045894544</v>
      </c>
      <c r="AC88">
        <v>8.6475694567159707</v>
      </c>
      <c r="AD88">
        <v>5.0916172720113764</v>
      </c>
      <c r="AE88">
        <v>5.1991606797487719</v>
      </c>
      <c r="AF88">
        <v>4.7948988794078105</v>
      </c>
      <c r="AG88">
        <v>5.628168763594573</v>
      </c>
      <c r="AH88">
        <v>5.0858727001384239</v>
      </c>
      <c r="AI88">
        <v>3.32881788321653</v>
      </c>
      <c r="AJ88">
        <v>5.2818263983442932</v>
      </c>
      <c r="AK88">
        <v>3.8794190803751718</v>
      </c>
      <c r="AL88">
        <v>4.8500005537941178</v>
      </c>
      <c r="AM88">
        <v>3.2999997394774709</v>
      </c>
      <c r="AN88">
        <v>4.1124189716286139</v>
      </c>
      <c r="AO88">
        <v>4.6024611556462673</v>
      </c>
      <c r="AP88">
        <v>4.1963574401957118</v>
      </c>
      <c r="AQ88">
        <v>4.7003907842791079</v>
      </c>
      <c r="AR88">
        <v>4.3999968254529591</v>
      </c>
      <c r="AS88">
        <v>3.7000000816440775</v>
      </c>
      <c r="AT88">
        <v>4.0000001280791935</v>
      </c>
      <c r="AU88">
        <v>4.4999995590033137</v>
      </c>
      <c r="AV88">
        <v>5.2000001331009997</v>
      </c>
      <c r="AW88">
        <v>5.5999999907744495</v>
      </c>
      <c r="AX88">
        <v>5.9000038185510419</v>
      </c>
      <c r="AY88">
        <v>6.3999126061803366</v>
      </c>
      <c r="AZ88">
        <v>4.3468191044007938</v>
      </c>
      <c r="BA88">
        <v>9.1497989383181704</v>
      </c>
      <c r="BB88">
        <v>4.844487051750761</v>
      </c>
      <c r="BC88">
        <v>7.8997119405162124</v>
      </c>
      <c r="BD88">
        <v>14.047123580314903</v>
      </c>
      <c r="BE88">
        <v>9.2927894063004999</v>
      </c>
      <c r="BF88">
        <v>7.3125250167814499</v>
      </c>
      <c r="BG88">
        <v>2.8562401633088257</v>
      </c>
      <c r="BH88">
        <v>2.1207593381733432</v>
      </c>
      <c r="BI88">
        <v>3.3734657496693643</v>
      </c>
      <c r="BJ88">
        <v>8.1288948810095576</v>
      </c>
      <c r="BK88">
        <v>6.2000776812728446</v>
      </c>
      <c r="BL88">
        <v>6.5077747939152033</v>
      </c>
      <c r="BM88">
        <v>0.51394167062817075</v>
      </c>
      <c r="BN88">
        <v>5.0764664353354192</v>
      </c>
      <c r="BO88">
        <v>3.0777305564517548</v>
      </c>
    </row>
    <row r="89" spans="1:67">
      <c r="A89" t="s">
        <v>948</v>
      </c>
      <c r="B89" t="s">
        <v>949</v>
      </c>
      <c r="C89" t="s">
        <v>784</v>
      </c>
      <c r="D89" t="s">
        <v>785</v>
      </c>
    </row>
    <row r="90" spans="1:67">
      <c r="A90" t="s">
        <v>950</v>
      </c>
      <c r="B90" t="s">
        <v>951</v>
      </c>
      <c r="C90" t="s">
        <v>784</v>
      </c>
      <c r="D90" t="s">
        <v>785</v>
      </c>
      <c r="AF90">
        <v>3.2999388428000458</v>
      </c>
      <c r="AG90">
        <v>6.3081167019752371</v>
      </c>
      <c r="AH90">
        <v>4.0034760101484039</v>
      </c>
      <c r="AI90">
        <v>4.3240627548313029</v>
      </c>
      <c r="AJ90">
        <v>2.6134230040964184</v>
      </c>
      <c r="AK90">
        <v>3.2709473025656024</v>
      </c>
      <c r="AL90">
        <v>5.0441445407140293</v>
      </c>
      <c r="AM90">
        <v>3.9700991059006441</v>
      </c>
      <c r="AN90">
        <v>4.6076732024535403</v>
      </c>
      <c r="AO90">
        <v>4.4615750851759941</v>
      </c>
      <c r="AP90">
        <v>5.1816034577376229</v>
      </c>
      <c r="AQ90">
        <v>3.6441212420599101</v>
      </c>
      <c r="AR90">
        <v>3.8120040334720215</v>
      </c>
      <c r="AS90">
        <v>2.5030605629960689</v>
      </c>
      <c r="AT90">
        <v>3.6583464692958643</v>
      </c>
      <c r="AU90">
        <v>5.1646094669663114</v>
      </c>
      <c r="AV90">
        <v>1.2486012592369775</v>
      </c>
      <c r="AW90">
        <v>2.3401173128873722</v>
      </c>
      <c r="AX90">
        <v>2.9972725627581838</v>
      </c>
      <c r="AY90">
        <v>1.18960211693242</v>
      </c>
      <c r="AZ90">
        <v>6.8174711107028116</v>
      </c>
      <c r="BA90">
        <v>4.1330161596583253</v>
      </c>
      <c r="BB90">
        <v>-1.1226420484868669</v>
      </c>
      <c r="BC90">
        <v>4.8133601686071898</v>
      </c>
      <c r="BD90">
        <v>5.6121117761506838</v>
      </c>
      <c r="BE90">
        <v>5.9152862600840024</v>
      </c>
      <c r="BF90">
        <v>3.9456870867141021</v>
      </c>
      <c r="BG90">
        <v>3.6965531172983219</v>
      </c>
      <c r="BH90">
        <v>3.8259105694700821</v>
      </c>
      <c r="BI90">
        <v>10.820627196523944</v>
      </c>
      <c r="BJ90">
        <v>10.300005342678759</v>
      </c>
      <c r="BK90">
        <v>6.3584919265027224</v>
      </c>
      <c r="BL90">
        <v>5.6169144696991822</v>
      </c>
      <c r="BM90">
        <v>4.9202663715221604</v>
      </c>
      <c r="BN90">
        <v>3.9000000004874664</v>
      </c>
      <c r="BO90">
        <v>4.699999999909295</v>
      </c>
    </row>
    <row r="91" spans="1:67">
      <c r="A91" t="s">
        <v>952</v>
      </c>
      <c r="B91" t="s">
        <v>953</v>
      </c>
      <c r="C91" t="s">
        <v>784</v>
      </c>
      <c r="D91" t="s">
        <v>785</v>
      </c>
      <c r="L91">
        <v>0</v>
      </c>
      <c r="M91">
        <v>9.5761434687649398</v>
      </c>
      <c r="N91">
        <v>2.4355228811132577</v>
      </c>
      <c r="O91">
        <v>6.1538465726228537</v>
      </c>
      <c r="P91">
        <v>-6.5877039405094706E-2</v>
      </c>
      <c r="Q91">
        <v>0.24170478501123682</v>
      </c>
      <c r="R91">
        <v>9.2503292534554618</v>
      </c>
      <c r="S91">
        <v>5.8787936102978335</v>
      </c>
      <c r="T91">
        <v>12.393429090692322</v>
      </c>
      <c r="U91">
        <v>7.3512257324752142</v>
      </c>
      <c r="V91">
        <v>3.4395760595896832</v>
      </c>
      <c r="W91">
        <v>6.3164463097617869</v>
      </c>
      <c r="X91">
        <v>-1.328183161649747</v>
      </c>
      <c r="Y91">
        <v>6.2700796055635379</v>
      </c>
      <c r="Z91">
        <v>3.3218940106494159</v>
      </c>
      <c r="AA91">
        <v>-0.76458263715004193</v>
      </c>
      <c r="AB91">
        <v>10.883227767559191</v>
      </c>
      <c r="AC91">
        <v>3.5352573016993745</v>
      </c>
      <c r="AD91">
        <v>-0.81226466056230606</v>
      </c>
      <c r="AE91">
        <v>4.091070740996912</v>
      </c>
      <c r="AF91">
        <v>2.4543325967863154</v>
      </c>
      <c r="AG91">
        <v>4.4768269207635711</v>
      </c>
      <c r="AH91">
        <v>5.895721872647357</v>
      </c>
      <c r="AI91">
        <v>3.5588793675698298</v>
      </c>
      <c r="AJ91">
        <v>3.1070392238558071</v>
      </c>
      <c r="AK91">
        <v>3.3786887912181243</v>
      </c>
      <c r="AL91">
        <v>3.0121013743749927</v>
      </c>
      <c r="AM91">
        <v>0.15434595984513066</v>
      </c>
      <c r="AN91">
        <v>0.88184824075467816</v>
      </c>
      <c r="AO91">
        <v>2.2235456383862697</v>
      </c>
      <c r="AP91">
        <v>4.8999991099968128</v>
      </c>
      <c r="AQ91">
        <v>3.4999987020530625</v>
      </c>
      <c r="AR91">
        <v>6.3999990500930153</v>
      </c>
      <c r="AS91">
        <v>5.5000002163295534</v>
      </c>
      <c r="AT91">
        <v>5.8000002432337681</v>
      </c>
      <c r="AU91">
        <v>-3.2500001497020605</v>
      </c>
      <c r="AV91">
        <v>6.8699996217384154</v>
      </c>
      <c r="AW91">
        <v>7.0500000006463495</v>
      </c>
      <c r="AX91">
        <v>-2.3517293617601922</v>
      </c>
      <c r="AY91">
        <v>-0.555580977246521</v>
      </c>
      <c r="AZ91">
        <v>3.0432495082973929</v>
      </c>
      <c r="BA91">
        <v>6.2559055339428653</v>
      </c>
      <c r="BB91">
        <v>6.6657243078366974</v>
      </c>
      <c r="BC91">
        <v>5.9083358096828817</v>
      </c>
      <c r="BD91">
        <v>-8.1304442231565872</v>
      </c>
      <c r="BE91">
        <v>5.2415692463074066</v>
      </c>
      <c r="BF91">
        <v>2.8727687903270009</v>
      </c>
      <c r="BG91">
        <v>-1.4073824951095446</v>
      </c>
      <c r="BH91">
        <v>4.0580738039996049</v>
      </c>
      <c r="BI91">
        <v>1.9433596547877556</v>
      </c>
      <c r="BJ91">
        <v>4.8226112492756954</v>
      </c>
      <c r="BK91">
        <v>7.2348903325857918</v>
      </c>
      <c r="BL91">
        <v>6.2220531599485867</v>
      </c>
      <c r="BM91">
        <v>0.59148728787397431</v>
      </c>
      <c r="BN91">
        <v>4.2654921615856267</v>
      </c>
      <c r="BO91">
        <v>4.3317328797051857</v>
      </c>
    </row>
    <row r="92" spans="1:67">
      <c r="A92" t="s">
        <v>954</v>
      </c>
      <c r="B92" t="s">
        <v>955</v>
      </c>
      <c r="C92" t="s">
        <v>784</v>
      </c>
      <c r="D92" t="s">
        <v>785</v>
      </c>
      <c r="P92">
        <v>-3.9109674582126672</v>
      </c>
      <c r="Q92">
        <v>6.374860893573171</v>
      </c>
      <c r="R92">
        <v>1.1098927901000053</v>
      </c>
      <c r="S92">
        <v>4.5592410484833295</v>
      </c>
      <c r="T92">
        <v>7.8455843197444466</v>
      </c>
      <c r="U92">
        <v>4.9434553050193841</v>
      </c>
      <c r="V92">
        <v>-7.1700699710659137</v>
      </c>
      <c r="W92">
        <v>13.126043380621908</v>
      </c>
      <c r="X92">
        <v>1.994144362536133</v>
      </c>
      <c r="Y92">
        <v>-15.952651498529761</v>
      </c>
      <c r="Z92">
        <v>18.167528152638496</v>
      </c>
      <c r="AA92">
        <v>4.2000821347952382</v>
      </c>
      <c r="AB92">
        <v>-3.3982874292349976</v>
      </c>
      <c r="AC92">
        <v>9.1092229864351708</v>
      </c>
      <c r="AD92">
        <v>4.1664928969836268</v>
      </c>
      <c r="AE92">
        <v>-0.79384762618845173</v>
      </c>
      <c r="AF92">
        <v>2.9000000074466783</v>
      </c>
      <c r="AG92">
        <v>4.5999999883504756</v>
      </c>
      <c r="AH92">
        <v>6.10000002147288</v>
      </c>
      <c r="AI92">
        <v>6.0999999864017411</v>
      </c>
      <c r="AJ92">
        <v>5.1000000227847835</v>
      </c>
      <c r="AK92">
        <v>1.0999999711895185</v>
      </c>
      <c r="AL92">
        <v>2.0999999996825807</v>
      </c>
      <c r="AM92">
        <v>3.2000000204495507</v>
      </c>
      <c r="AN92">
        <v>4.4000000080332882</v>
      </c>
      <c r="AO92">
        <v>11.599999996280872</v>
      </c>
      <c r="AP92">
        <v>6.5</v>
      </c>
      <c r="AQ92">
        <v>-28.099979729357514</v>
      </c>
      <c r="AR92">
        <v>1.0255374085929674</v>
      </c>
      <c r="AS92">
        <v>5.4269873668677064</v>
      </c>
      <c r="AT92">
        <v>2.188906814707309</v>
      </c>
      <c r="AU92">
        <v>-0.98517752499138567</v>
      </c>
      <c r="AV92">
        <v>0.56851017608845211</v>
      </c>
      <c r="AW92">
        <v>2.7614019904803229</v>
      </c>
      <c r="AX92">
        <v>4.2660989314540672</v>
      </c>
      <c r="AY92">
        <v>2.3093579976479361</v>
      </c>
      <c r="AZ92">
        <v>3.2629554560829064</v>
      </c>
      <c r="BA92">
        <v>3.2035673069329675</v>
      </c>
      <c r="BB92">
        <v>3.3689749577318366</v>
      </c>
      <c r="BC92">
        <v>4.6109709001031831</v>
      </c>
      <c r="BD92">
        <v>8.0847797339871619</v>
      </c>
      <c r="BE92">
        <v>-1.7126830118107392</v>
      </c>
      <c r="BF92">
        <v>3.2559042651769516</v>
      </c>
      <c r="BG92">
        <v>0.96456075098132033</v>
      </c>
      <c r="BH92">
        <v>6.1340829411329167</v>
      </c>
      <c r="BI92">
        <v>6.2628056378046324</v>
      </c>
      <c r="BJ92">
        <v>5.919176625860473</v>
      </c>
      <c r="BK92">
        <v>1.2837367030946467</v>
      </c>
      <c r="BL92">
        <v>4.4999999915131639</v>
      </c>
      <c r="BM92">
        <v>-2.399999999217215</v>
      </c>
      <c r="BN92">
        <v>3.8000024300404789</v>
      </c>
      <c r="BO92">
        <v>3.5000495919058636</v>
      </c>
    </row>
    <row r="93" spans="1:67">
      <c r="A93" t="s">
        <v>956</v>
      </c>
      <c r="B93" t="s">
        <v>957</v>
      </c>
      <c r="C93" t="s">
        <v>784</v>
      </c>
      <c r="D93" t="s">
        <v>785</v>
      </c>
      <c r="Z93">
        <v>5.7694205030195462</v>
      </c>
      <c r="AA93">
        <v>2.2016759463672173</v>
      </c>
      <c r="AB93">
        <v>5.0043871958266806</v>
      </c>
      <c r="AC93">
        <v>1.0113816704000271</v>
      </c>
      <c r="AD93">
        <v>12.905178868482096</v>
      </c>
      <c r="AE93">
        <v>-2.33055635744239</v>
      </c>
      <c r="AF93">
        <v>4.4367373624436084</v>
      </c>
      <c r="AG93">
        <v>2.6552621825882028</v>
      </c>
      <c r="AH93">
        <v>-1.2291780794983396</v>
      </c>
      <c r="AI93">
        <v>-1.7585640849644335</v>
      </c>
      <c r="AJ93">
        <v>-1.022238877102879</v>
      </c>
      <c r="AK93">
        <v>34.745320029065226</v>
      </c>
      <c r="AL93">
        <v>11.033213037527673</v>
      </c>
      <c r="AM93">
        <v>16.668835541841645</v>
      </c>
      <c r="AN93">
        <v>17.486263732393809</v>
      </c>
      <c r="AO93">
        <v>66.57999722158965</v>
      </c>
      <c r="AP93">
        <v>149.97296348796513</v>
      </c>
      <c r="AQ93">
        <v>23.774482329960662</v>
      </c>
      <c r="AR93">
        <v>25.664015441041826</v>
      </c>
      <c r="AS93">
        <v>18.213779956967429</v>
      </c>
      <c r="AT93">
        <v>63.37987542506022</v>
      </c>
      <c r="AU93">
        <v>19.462834035925098</v>
      </c>
      <c r="AV93">
        <v>13.955250316382489</v>
      </c>
      <c r="AW93">
        <v>37.998726855642303</v>
      </c>
      <c r="AX93">
        <v>16.748700605354088</v>
      </c>
      <c r="AY93">
        <v>7.7049176065876708</v>
      </c>
      <c r="AZ93">
        <v>15.282113919485724</v>
      </c>
      <c r="BA93">
        <v>17.799109133381137</v>
      </c>
      <c r="BB93">
        <v>1.3433562880609458</v>
      </c>
      <c r="BC93">
        <v>-8.9241758885180644</v>
      </c>
      <c r="BD93">
        <v>6.5239236298987322</v>
      </c>
      <c r="BE93">
        <v>8.31287184445641</v>
      </c>
      <c r="BF93">
        <v>-4.1331985013158317</v>
      </c>
      <c r="BG93">
        <v>0.41506630159686608</v>
      </c>
      <c r="BH93">
        <v>-9.1100411488153696</v>
      </c>
      <c r="BI93">
        <v>-8.8164172321975656</v>
      </c>
      <c r="BJ93">
        <v>-5.6675085048668592</v>
      </c>
      <c r="BK93">
        <v>-6.2365440673457471</v>
      </c>
      <c r="BL93">
        <v>-5.4818253789344453</v>
      </c>
      <c r="BM93">
        <v>-4.791080833832936</v>
      </c>
      <c r="BN93">
        <v>0.26345437595701071</v>
      </c>
      <c r="BO93">
        <v>3.7800464600199746</v>
      </c>
    </row>
    <row r="94" spans="1:67">
      <c r="A94" t="s">
        <v>958</v>
      </c>
      <c r="B94" t="s">
        <v>959</v>
      </c>
      <c r="C94" t="s">
        <v>784</v>
      </c>
      <c r="D94" t="s">
        <v>785</v>
      </c>
      <c r="F94">
        <v>13.20384119344267</v>
      </c>
      <c r="G94">
        <v>0.36481053821671594</v>
      </c>
      <c r="H94">
        <v>11.844867674036209</v>
      </c>
      <c r="I94">
        <v>9.4096766382928223</v>
      </c>
      <c r="J94">
        <v>10.7680105057905</v>
      </c>
      <c r="K94">
        <v>6.4945023470754677</v>
      </c>
      <c r="L94">
        <v>5.6694854667158552</v>
      </c>
      <c r="M94">
        <v>7.2037189004718698</v>
      </c>
      <c r="N94">
        <v>11.563667290728446</v>
      </c>
      <c r="O94">
        <v>8.5647775404570865</v>
      </c>
      <c r="P94">
        <v>7.8411770336467015</v>
      </c>
      <c r="Q94">
        <v>10.160150954788506</v>
      </c>
      <c r="R94">
        <v>8.0923784286089671</v>
      </c>
      <c r="S94">
        <v>-6.4382403366048209</v>
      </c>
      <c r="T94">
        <v>6.3668088429138123</v>
      </c>
      <c r="U94">
        <v>6.8518979490388858</v>
      </c>
      <c r="V94">
        <v>2.9410015893687671</v>
      </c>
      <c r="W94">
        <v>7.2468631066708014</v>
      </c>
      <c r="X94">
        <v>3.2820802668316134</v>
      </c>
      <c r="Y94">
        <v>0.67713148667721157</v>
      </c>
      <c r="Z94">
        <v>-1.5537216803415532</v>
      </c>
      <c r="AA94">
        <v>-1.1326470236708701</v>
      </c>
      <c r="AB94">
        <v>-1.0786227164935411</v>
      </c>
      <c r="AC94">
        <v>2.0105803758452936</v>
      </c>
      <c r="AD94">
        <v>2.5095565146686454</v>
      </c>
      <c r="AE94">
        <v>0.51766035289885792</v>
      </c>
      <c r="AF94">
        <v>-2.2588635586875228</v>
      </c>
      <c r="AG94">
        <v>4.2878613125123337</v>
      </c>
      <c r="AH94">
        <v>3.8000002778921385</v>
      </c>
      <c r="AI94">
        <v>0</v>
      </c>
      <c r="AJ94">
        <v>3.1000002445912713</v>
      </c>
      <c r="AK94">
        <v>0.69999984161546536</v>
      </c>
      <c r="AL94">
        <v>-1.5999996921832604</v>
      </c>
      <c r="AM94">
        <v>2</v>
      </c>
      <c r="AN94">
        <v>2.0997194160090373</v>
      </c>
      <c r="AO94">
        <v>2.8621286919027824</v>
      </c>
      <c r="AP94">
        <v>4.4841992493243907</v>
      </c>
      <c r="AQ94">
        <v>3.8949047445028953</v>
      </c>
      <c r="AR94">
        <v>3.0725970351925156</v>
      </c>
      <c r="AS94">
        <v>3.9197705299379493</v>
      </c>
      <c r="AT94">
        <v>4.1316119862707268</v>
      </c>
      <c r="AU94">
        <v>3.922871741531452</v>
      </c>
      <c r="AV94">
        <v>5.7945316607555384</v>
      </c>
      <c r="AW94">
        <v>5.0609924924020362</v>
      </c>
      <c r="AX94">
        <v>0.59914203653079312</v>
      </c>
      <c r="AY94">
        <v>5.6524335357409399</v>
      </c>
      <c r="AZ94">
        <v>3.2737468757313621</v>
      </c>
      <c r="BA94">
        <v>-0.33517254306121913</v>
      </c>
      <c r="BB94">
        <v>-4.3007334866820059</v>
      </c>
      <c r="BC94">
        <v>-5.4778080492684182</v>
      </c>
      <c r="BD94">
        <v>-10.149314829868501</v>
      </c>
      <c r="BE94">
        <v>-7.0866967863802444</v>
      </c>
      <c r="BF94">
        <v>-2.5159972218965123</v>
      </c>
      <c r="BG94">
        <v>0.47569594713704078</v>
      </c>
      <c r="BH94">
        <v>-0.19608762972413274</v>
      </c>
      <c r="BI94">
        <v>-0.48717329430195377</v>
      </c>
      <c r="BJ94">
        <v>1.0921491201728344</v>
      </c>
      <c r="BK94">
        <v>1.6684286360251406</v>
      </c>
      <c r="BL94">
        <v>1.8794899859081653</v>
      </c>
      <c r="BM94">
        <v>-9.3164357647874283</v>
      </c>
      <c r="BN94">
        <v>8.3799437835808277</v>
      </c>
      <c r="BO94">
        <v>5.5572870796330847</v>
      </c>
    </row>
    <row r="95" spans="1:67">
      <c r="A95" t="s">
        <v>960</v>
      </c>
      <c r="B95" t="s">
        <v>961</v>
      </c>
      <c r="C95" t="s">
        <v>784</v>
      </c>
      <c r="D95" t="s">
        <v>785</v>
      </c>
      <c r="W95">
        <v>5.341402126014998</v>
      </c>
      <c r="X95">
        <v>5.6020835295277749</v>
      </c>
      <c r="Y95">
        <v>-0.53478404804744173</v>
      </c>
      <c r="Z95">
        <v>1.5341874984789854</v>
      </c>
      <c r="AA95">
        <v>4.1242616477411502</v>
      </c>
      <c r="AB95">
        <v>3.6325748762523915</v>
      </c>
      <c r="AC95">
        <v>3.5684652405338397</v>
      </c>
      <c r="AD95">
        <v>5.9797081652030357</v>
      </c>
      <c r="AE95">
        <v>7.1942738124073173</v>
      </c>
      <c r="AF95">
        <v>9.0974250421601823</v>
      </c>
      <c r="AG95">
        <v>2.9667917056046065</v>
      </c>
      <c r="AH95">
        <v>3.7677307847603316</v>
      </c>
      <c r="AI95">
        <v>4.012611897778001</v>
      </c>
      <c r="AJ95">
        <v>1.3855458142136143</v>
      </c>
      <c r="AK95">
        <v>-0.85114875639139598</v>
      </c>
      <c r="AL95">
        <v>-1.958815581437463</v>
      </c>
      <c r="AM95">
        <v>1.69355604419043</v>
      </c>
      <c r="AN95">
        <v>2.1294751495985764</v>
      </c>
      <c r="AO95">
        <v>4.4382347160335769</v>
      </c>
      <c r="AP95">
        <v>5.0154946093674511</v>
      </c>
      <c r="AQ95">
        <v>11.753502991919177</v>
      </c>
      <c r="AR95">
        <v>6.8983624336867706</v>
      </c>
      <c r="AS95">
        <v>4.8879521365056178</v>
      </c>
      <c r="AT95">
        <v>-2.0239000407205765</v>
      </c>
      <c r="AU95">
        <v>3.437323529541473</v>
      </c>
      <c r="AV95">
        <v>9.4639734307649093</v>
      </c>
      <c r="AW95">
        <v>-0.64745031608485704</v>
      </c>
      <c r="AX95">
        <v>13.276188330627207</v>
      </c>
      <c r="AY95">
        <v>-3.9953282442748161</v>
      </c>
      <c r="AZ95">
        <v>6.1234509474146677</v>
      </c>
      <c r="BA95">
        <v>0.94754262490769747</v>
      </c>
      <c r="BB95">
        <v>-6.6132813479954535</v>
      </c>
      <c r="BC95">
        <v>-0.51114618717372196</v>
      </c>
      <c r="BD95">
        <v>0.76477355033873096</v>
      </c>
      <c r="BE95">
        <v>-1.1548381640980097</v>
      </c>
      <c r="BF95">
        <v>2.3510980167790478</v>
      </c>
      <c r="BG95">
        <v>7.3421239603794817</v>
      </c>
      <c r="BH95">
        <v>6.4452231469314398</v>
      </c>
      <c r="BI95">
        <v>3.7396039558691001</v>
      </c>
      <c r="BJ95">
        <v>4.4386756694815119</v>
      </c>
      <c r="BK95">
        <v>4.3614403936479675</v>
      </c>
      <c r="BL95">
        <v>0.67651173887375649</v>
      </c>
      <c r="BM95">
        <v>-13.75662225721068</v>
      </c>
      <c r="BN95">
        <v>4.68747816934534</v>
      </c>
      <c r="BO95">
        <v>6.3612099644128222</v>
      </c>
    </row>
    <row r="96" spans="1:67">
      <c r="A96" t="s">
        <v>962</v>
      </c>
      <c r="B96" t="s">
        <v>963</v>
      </c>
      <c r="C96" t="s">
        <v>784</v>
      </c>
      <c r="D96" t="s">
        <v>785</v>
      </c>
      <c r="P96">
        <v>13.060851351413078</v>
      </c>
      <c r="Q96">
        <v>6.1772735621095478</v>
      </c>
      <c r="R96">
        <v>6.8060089905169718</v>
      </c>
      <c r="S96">
        <v>5.706253994352295</v>
      </c>
      <c r="T96">
        <v>0.64624014115372574</v>
      </c>
      <c r="U96">
        <v>5.9592085075245365</v>
      </c>
      <c r="V96">
        <v>8.822315281092429</v>
      </c>
      <c r="W96">
        <v>6.0167172040001446</v>
      </c>
      <c r="X96">
        <v>4.8605974596580097</v>
      </c>
      <c r="Y96">
        <v>8.6760062673228617</v>
      </c>
      <c r="Z96">
        <v>0.66527956288761914</v>
      </c>
      <c r="AA96">
        <v>-4.419660839753675</v>
      </c>
      <c r="AB96">
        <v>3.4572166679382548</v>
      </c>
      <c r="AC96">
        <v>-5.1796154864268971</v>
      </c>
      <c r="AD96">
        <v>3.6563879784166033</v>
      </c>
      <c r="AE96">
        <v>7.0973227462028063</v>
      </c>
      <c r="AF96">
        <v>5.5158720989633991</v>
      </c>
      <c r="AG96">
        <v>5.6036107111649471</v>
      </c>
      <c r="AH96">
        <v>6.6595450241052845</v>
      </c>
      <c r="AI96">
        <v>-11.719532984158505</v>
      </c>
      <c r="AJ96">
        <v>-0.11346459774756568</v>
      </c>
      <c r="AK96">
        <v>-5.1117000323197033</v>
      </c>
      <c r="AL96">
        <v>-5.0279326294251518</v>
      </c>
      <c r="AM96">
        <v>5.9243698014920909</v>
      </c>
      <c r="AN96">
        <v>3.728677489111206</v>
      </c>
      <c r="AO96">
        <v>1.5296373613267917</v>
      </c>
      <c r="AP96">
        <v>1.4689263809697195</v>
      </c>
      <c r="AQ96">
        <v>7.7579817448255142</v>
      </c>
      <c r="AR96">
        <v>1.3778844452400563</v>
      </c>
      <c r="AS96">
        <v>7.1015968818161923</v>
      </c>
      <c r="AT96">
        <v>1.2690350790278728</v>
      </c>
      <c r="AU96">
        <v>-0.9711773106655528</v>
      </c>
      <c r="AV96">
        <v>4.4300457211821112</v>
      </c>
      <c r="AW96">
        <v>6.9065828367662903</v>
      </c>
      <c r="AX96">
        <v>4.9874917709019257</v>
      </c>
      <c r="AY96">
        <v>5.5556949008001197</v>
      </c>
      <c r="AZ96">
        <v>2.3524379811805005</v>
      </c>
      <c r="BA96">
        <v>6.1661327018618977</v>
      </c>
      <c r="BB96">
        <v>0.86595232888694795</v>
      </c>
      <c r="BC96">
        <v>1.7358250588966513</v>
      </c>
      <c r="BD96">
        <v>-0.49651939195908312</v>
      </c>
      <c r="BE96">
        <v>1.3941933595562546</v>
      </c>
      <c r="BF96">
        <v>-1.2982806933551103</v>
      </c>
      <c r="BG96">
        <v>4.7421356730151984</v>
      </c>
      <c r="BH96">
        <v>-2.5293180239447537</v>
      </c>
      <c r="BI96">
        <v>4.6819541097230228</v>
      </c>
      <c r="BJ96">
        <v>5.2728182880031227E-2</v>
      </c>
      <c r="BK96">
        <v>0.62306542854094005</v>
      </c>
      <c r="BL96">
        <v>2.8321775679868324</v>
      </c>
      <c r="BM96">
        <v>0.18760879375928141</v>
      </c>
      <c r="BN96">
        <v>1.2902104877059912</v>
      </c>
    </row>
    <row r="97" spans="1:67">
      <c r="A97" t="s">
        <v>964</v>
      </c>
      <c r="B97" t="s">
        <v>965</v>
      </c>
      <c r="C97" t="s">
        <v>784</v>
      </c>
      <c r="D97" t="s">
        <v>785</v>
      </c>
      <c r="F97">
        <v>4.2985183487468817</v>
      </c>
      <c r="G97">
        <v>3.5365012628486596</v>
      </c>
      <c r="H97">
        <v>9.5410439305487529</v>
      </c>
      <c r="I97">
        <v>4.6329924319049098</v>
      </c>
      <c r="J97">
        <v>4.3617693145272796</v>
      </c>
      <c r="K97">
        <v>5.512103990193566</v>
      </c>
      <c r="L97">
        <v>4.1121756169634267</v>
      </c>
      <c r="M97">
        <v>8.7660350542551555</v>
      </c>
      <c r="N97">
        <v>4.7369090158399132</v>
      </c>
      <c r="O97">
        <v>5.7078835981197358</v>
      </c>
      <c r="P97">
        <v>5.5837545473679313</v>
      </c>
      <c r="Q97">
        <v>7.3330516206140572</v>
      </c>
      <c r="R97">
        <v>6.7828343374912947</v>
      </c>
      <c r="S97">
        <v>6.3750299028695565</v>
      </c>
      <c r="T97">
        <v>1.9499908215834409</v>
      </c>
      <c r="U97">
        <v>7.3872656247630175</v>
      </c>
      <c r="V97">
        <v>7.8092206840506719</v>
      </c>
      <c r="W97">
        <v>4.996689819545864</v>
      </c>
      <c r="X97">
        <v>4.7134560917188537</v>
      </c>
      <c r="Y97">
        <v>3.7599781603312437</v>
      </c>
      <c r="Z97">
        <v>0.64685861043223269</v>
      </c>
      <c r="AA97">
        <v>-3.5300890095485471</v>
      </c>
      <c r="AB97">
        <v>-2.5720914443391365</v>
      </c>
      <c r="AC97">
        <v>0.49669775264345617</v>
      </c>
      <c r="AD97">
        <v>-0.60933895558426343</v>
      </c>
      <c r="AE97">
        <v>0.1430495955251132</v>
      </c>
      <c r="AF97">
        <v>3.543983306519209</v>
      </c>
      <c r="AG97">
        <v>3.8923870635478579</v>
      </c>
      <c r="AH97">
        <v>3.9425895198234855</v>
      </c>
      <c r="AI97">
        <v>3.1025631755758667</v>
      </c>
      <c r="AJ97">
        <v>3.6582487500681111</v>
      </c>
      <c r="AK97">
        <v>4.8383388468868276</v>
      </c>
      <c r="AL97">
        <v>3.9271319450402444</v>
      </c>
      <c r="AM97">
        <v>4.0337414964145779</v>
      </c>
      <c r="AN97">
        <v>4.9485475021038212</v>
      </c>
      <c r="AO97">
        <v>2.9577798874071561</v>
      </c>
      <c r="AP97">
        <v>4.3640899467834089</v>
      </c>
      <c r="AQ97">
        <v>4.993527803058484</v>
      </c>
      <c r="AR97">
        <v>3.8470621889050989</v>
      </c>
      <c r="AS97">
        <v>3.6088687174875957</v>
      </c>
      <c r="AT97">
        <v>2.3325748660885353</v>
      </c>
      <c r="AU97">
        <v>3.8392870855679178</v>
      </c>
      <c r="AV97">
        <v>2.5603776680189583</v>
      </c>
      <c r="AW97">
        <v>3.1379168360919323</v>
      </c>
      <c r="AX97">
        <v>3.276026925888857</v>
      </c>
      <c r="AY97">
        <v>5.35139778711536</v>
      </c>
      <c r="AZ97">
        <v>6.3377186901620348</v>
      </c>
      <c r="BA97">
        <v>3.2935240002848474</v>
      </c>
      <c r="BB97">
        <v>0.4768981065963942</v>
      </c>
      <c r="BC97">
        <v>2.8841754280037719</v>
      </c>
      <c r="BD97">
        <v>4.1639068829334889</v>
      </c>
      <c r="BE97">
        <v>2.9747085684766148</v>
      </c>
      <c r="BF97">
        <v>3.6948191988175125</v>
      </c>
      <c r="BG97">
        <v>4.443977582852682</v>
      </c>
      <c r="BH97">
        <v>4.0921708162124446</v>
      </c>
      <c r="BI97">
        <v>2.6778025553282561</v>
      </c>
      <c r="BJ97">
        <v>3.0798514912568891</v>
      </c>
      <c r="BK97">
        <v>3.4068733999794887</v>
      </c>
      <c r="BL97">
        <v>4.0178979343828019</v>
      </c>
      <c r="BM97">
        <v>-1.7918576945847917</v>
      </c>
      <c r="BN97">
        <v>8.002408036391202</v>
      </c>
      <c r="BO97">
        <v>4.1180041692338847</v>
      </c>
    </row>
    <row r="98" spans="1:67">
      <c r="A98" t="s">
        <v>966</v>
      </c>
      <c r="B98" t="s">
        <v>967</v>
      </c>
      <c r="C98" t="s">
        <v>784</v>
      </c>
      <c r="D98" t="s">
        <v>785</v>
      </c>
      <c r="AV98">
        <v>0.87931413497473443</v>
      </c>
      <c r="AW98">
        <v>6.4937894966223553</v>
      </c>
      <c r="AX98">
        <v>3.642316349498671</v>
      </c>
      <c r="AY98">
        <v>-3.652517275419541</v>
      </c>
      <c r="AZ98">
        <v>0.71721311475410232</v>
      </c>
      <c r="BA98">
        <v>2.0345879959308206</v>
      </c>
      <c r="BB98">
        <v>0.43868394815554268</v>
      </c>
      <c r="BC98">
        <v>2.2632519356760099</v>
      </c>
      <c r="BD98">
        <v>7.7654824305952275E-2</v>
      </c>
      <c r="BE98">
        <v>2.1338506304558535</v>
      </c>
      <c r="BF98">
        <v>1.6904083570750146</v>
      </c>
      <c r="BG98">
        <v>1.7930519237952893</v>
      </c>
      <c r="BH98">
        <v>0.82568807339448824</v>
      </c>
      <c r="BI98">
        <v>0.18198362147406044</v>
      </c>
      <c r="BJ98">
        <v>0.89009990917348603</v>
      </c>
      <c r="BK98">
        <v>-0.79222182211019287</v>
      </c>
      <c r="BL98">
        <v>2.5952813067150657</v>
      </c>
      <c r="BM98">
        <v>-11.392181142756058</v>
      </c>
      <c r="BN98">
        <v>1.0580954282291941</v>
      </c>
    </row>
    <row r="99" spans="1:67">
      <c r="A99" t="s">
        <v>968</v>
      </c>
      <c r="B99" t="s">
        <v>969</v>
      </c>
      <c r="C99" t="s">
        <v>784</v>
      </c>
      <c r="D99" t="s">
        <v>785</v>
      </c>
      <c r="F99">
        <v>4.6895243116491798</v>
      </c>
      <c r="G99">
        <v>1.1049258095544303</v>
      </c>
      <c r="H99">
        <v>-12.27865726075315</v>
      </c>
      <c r="I99">
        <v>11.360282379938553</v>
      </c>
      <c r="J99">
        <v>10.541018761877226</v>
      </c>
      <c r="K99">
        <v>5.2332738940271923</v>
      </c>
      <c r="L99">
        <v>4.3136218292412707</v>
      </c>
      <c r="M99">
        <v>1.0248275531070163</v>
      </c>
      <c r="N99">
        <v>6.9943866575372056</v>
      </c>
      <c r="O99">
        <v>4.2554568930315213</v>
      </c>
      <c r="P99">
        <v>3.1128508439862514</v>
      </c>
      <c r="Q99">
        <v>-3.3176709348416011</v>
      </c>
      <c r="R99">
        <v>1.2447193523168636</v>
      </c>
      <c r="S99">
        <v>7.7028399493574256</v>
      </c>
      <c r="T99">
        <v>8.4830215137347409</v>
      </c>
      <c r="U99">
        <v>1.5369132786034783</v>
      </c>
      <c r="V99">
        <v>-2.6386796610759262</v>
      </c>
      <c r="W99">
        <v>-1.8061887721686105</v>
      </c>
      <c r="X99">
        <v>-1.8356962605444522</v>
      </c>
      <c r="Y99">
        <v>1.7338897272193066</v>
      </c>
      <c r="Z99">
        <v>1.4961659202039215</v>
      </c>
      <c r="AA99">
        <v>-13.190134488472395</v>
      </c>
      <c r="AB99">
        <v>-6.792386689346003</v>
      </c>
      <c r="AC99">
        <v>-5.0287378636685389</v>
      </c>
      <c r="AD99">
        <v>2.3996674580785111</v>
      </c>
      <c r="AE99">
        <v>-0.90060223727564903</v>
      </c>
      <c r="AF99">
        <v>0.89939659403847827</v>
      </c>
      <c r="AG99">
        <v>-3.693533100758728</v>
      </c>
      <c r="AH99">
        <v>-4.9166666651181572</v>
      </c>
      <c r="AI99">
        <v>-3.0674846640672797</v>
      </c>
      <c r="AJ99">
        <v>6.057866185305727</v>
      </c>
      <c r="AK99">
        <v>7.7578857760752555</v>
      </c>
      <c r="AL99">
        <v>8.1751054930402347</v>
      </c>
      <c r="AM99">
        <v>8.532423166672757</v>
      </c>
      <c r="AN99">
        <v>5.0314465581208481</v>
      </c>
      <c r="AO99">
        <v>7.9555175412510266</v>
      </c>
      <c r="AP99">
        <v>6.1806656101993838</v>
      </c>
      <c r="AQ99">
        <v>-1.6791044918972915</v>
      </c>
      <c r="AR99">
        <v>2.9601518031122396</v>
      </c>
      <c r="AS99">
        <v>-1.3638039026187272</v>
      </c>
      <c r="AT99">
        <v>2.2795216592190997</v>
      </c>
      <c r="AU99">
        <v>1.1326269619947595</v>
      </c>
      <c r="AV99">
        <v>-0.63222538826637731</v>
      </c>
      <c r="AW99">
        <v>1.5633521103404178</v>
      </c>
      <c r="AX99">
        <v>-1.9509575950171438</v>
      </c>
      <c r="AY99">
        <v>5.1296093477299962</v>
      </c>
      <c r="AZ99">
        <v>7.1912362405745682</v>
      </c>
      <c r="BA99">
        <v>1.7552234959201911</v>
      </c>
      <c r="BB99">
        <v>3.6115084721858466</v>
      </c>
      <c r="BC99">
        <v>4.1384416013734153</v>
      </c>
      <c r="BD99">
        <v>5.1962515605160178</v>
      </c>
      <c r="BE99">
        <v>5.2763306204680873</v>
      </c>
      <c r="BF99">
        <v>3.6533843333823199</v>
      </c>
      <c r="BG99">
        <v>1.6864944501958377</v>
      </c>
      <c r="BH99">
        <v>0.68740459061949366</v>
      </c>
      <c r="BI99">
        <v>3.8074562637881399</v>
      </c>
      <c r="BJ99">
        <v>3.7344915457128423</v>
      </c>
      <c r="BK99">
        <v>4.4409128847596691</v>
      </c>
      <c r="BL99">
        <v>5.3528400353566497</v>
      </c>
      <c r="BM99">
        <v>43.479651716848991</v>
      </c>
      <c r="BN99">
        <v>20.059997556841807</v>
      </c>
      <c r="BO99">
        <v>63.368438961576175</v>
      </c>
    </row>
    <row r="100" spans="1:67">
      <c r="A100" t="s">
        <v>970</v>
      </c>
      <c r="B100" t="s">
        <v>971</v>
      </c>
      <c r="C100" t="s">
        <v>784</v>
      </c>
      <c r="D100" t="s">
        <v>785</v>
      </c>
      <c r="F100">
        <v>4.3217045184597254</v>
      </c>
      <c r="G100">
        <v>5.7224459315256837</v>
      </c>
      <c r="H100">
        <v>5.2930619757755437</v>
      </c>
      <c r="I100">
        <v>6.3585156061958656</v>
      </c>
      <c r="J100">
        <v>5.5114770205109096</v>
      </c>
      <c r="K100">
        <v>5.9272416307438931</v>
      </c>
      <c r="L100">
        <v>4.3044006368546661</v>
      </c>
      <c r="M100">
        <v>5.951901372545791</v>
      </c>
      <c r="N100">
        <v>5.348929160578237</v>
      </c>
      <c r="O100">
        <v>3.1872231489600722</v>
      </c>
      <c r="P100">
        <v>3.8867318084782028</v>
      </c>
      <c r="Q100">
        <v>5.5336159540154881</v>
      </c>
      <c r="R100">
        <v>6.3163460448248259</v>
      </c>
      <c r="S100">
        <v>1.0920322500727337</v>
      </c>
      <c r="T100">
        <v>-5.1979673333050869E-2</v>
      </c>
      <c r="U100">
        <v>5.1676101826511882</v>
      </c>
      <c r="V100">
        <v>3.9890257862572014</v>
      </c>
      <c r="W100">
        <v>4.2323246749938619</v>
      </c>
      <c r="X100">
        <v>4.1020011807395349</v>
      </c>
      <c r="Y100">
        <v>1.2916620898815836</v>
      </c>
      <c r="Z100">
        <v>1.9570077855472334</v>
      </c>
      <c r="AA100">
        <v>-0.24979305979427124</v>
      </c>
      <c r="AB100">
        <v>2.8082467901529498</v>
      </c>
      <c r="AC100">
        <v>4.7080350312488974</v>
      </c>
      <c r="AD100">
        <v>3.5734081252631427</v>
      </c>
      <c r="AE100">
        <v>3.2670720130776942</v>
      </c>
      <c r="AF100">
        <v>3.4904947730073559</v>
      </c>
      <c r="AG100">
        <v>4.7502898241565674</v>
      </c>
      <c r="AH100">
        <v>3.8745936079911445</v>
      </c>
      <c r="AI100">
        <v>3.0131552542065094</v>
      </c>
      <c r="AJ100">
        <v>1.3278195835172824</v>
      </c>
      <c r="AK100">
        <v>2.1556163277265341</v>
      </c>
      <c r="AL100">
        <v>1.3957871925453418</v>
      </c>
      <c r="AM100">
        <v>3.3278370426893957</v>
      </c>
      <c r="AN100">
        <v>2.8600995703229586</v>
      </c>
      <c r="AO100">
        <v>3.0474221507692931</v>
      </c>
      <c r="AP100">
        <v>3.5260129767427486</v>
      </c>
      <c r="AQ100">
        <v>2.8964769336481453</v>
      </c>
      <c r="AR100">
        <v>3.4832362569433997</v>
      </c>
      <c r="AS100">
        <v>4.1403011136234511</v>
      </c>
      <c r="AT100">
        <v>1.5060630665842325</v>
      </c>
      <c r="AU100">
        <v>1.5483684375859923</v>
      </c>
      <c r="AV100">
        <v>2.1902945160211544</v>
      </c>
      <c r="AW100">
        <v>3.4252908019447972</v>
      </c>
      <c r="AX100">
        <v>2.8869634544938236</v>
      </c>
      <c r="AY100">
        <v>3.0896192984810114</v>
      </c>
      <c r="AZ100">
        <v>2.7045214675688527</v>
      </c>
      <c r="BA100">
        <v>0.54541271971714878</v>
      </c>
      <c r="BB100">
        <v>-3.2566883554362249</v>
      </c>
      <c r="BC100">
        <v>3.0138461888613506</v>
      </c>
      <c r="BD100">
        <v>1.9461813778462727</v>
      </c>
      <c r="BE100">
        <v>1.3968717366216481</v>
      </c>
      <c r="BF100">
        <v>1.4968581601225281</v>
      </c>
      <c r="BG100">
        <v>2.0992983005543238</v>
      </c>
      <c r="BH100">
        <v>2.3626449920136565</v>
      </c>
      <c r="BI100">
        <v>1.8274547652703035</v>
      </c>
      <c r="BJ100">
        <v>2.4000071839534627</v>
      </c>
      <c r="BK100">
        <v>2.3419330191279357</v>
      </c>
      <c r="BL100">
        <v>1.7590813599988024</v>
      </c>
      <c r="BM100">
        <v>-4.1854536103420088</v>
      </c>
      <c r="BN100">
        <v>5.6236614668736564</v>
      </c>
      <c r="BO100">
        <v>2.7859524054781843</v>
      </c>
    </row>
    <row r="101" spans="1:67">
      <c r="A101" t="s">
        <v>972</v>
      </c>
      <c r="B101" t="s">
        <v>973</v>
      </c>
      <c r="C101" t="s">
        <v>784</v>
      </c>
      <c r="D101" t="s">
        <v>785</v>
      </c>
      <c r="G101">
        <v>14.291224686595967</v>
      </c>
      <c r="H101">
        <v>15.763463670989822</v>
      </c>
      <c r="I101">
        <v>8.6281696202355818</v>
      </c>
      <c r="J101">
        <v>14.642188468493785</v>
      </c>
      <c r="K101">
        <v>1.7948017635878131</v>
      </c>
      <c r="L101">
        <v>1.6032678629118209</v>
      </c>
      <c r="M101">
        <v>3.3973754412438382</v>
      </c>
      <c r="N101">
        <v>11.343747231039458</v>
      </c>
      <c r="O101">
        <v>9.2068737916797261</v>
      </c>
      <c r="P101">
        <v>7.2930374510804086</v>
      </c>
      <c r="Q101">
        <v>10.611853538682809</v>
      </c>
      <c r="R101">
        <v>12.279542162843526</v>
      </c>
      <c r="S101">
        <v>2.4151963070786309</v>
      </c>
      <c r="T101">
        <v>0.49187588143466598</v>
      </c>
      <c r="U101">
        <v>16.164331325658949</v>
      </c>
      <c r="V101">
        <v>11.725659549851343</v>
      </c>
      <c r="W101">
        <v>8.2608842243168965</v>
      </c>
      <c r="X101">
        <v>11.556582787585427</v>
      </c>
      <c r="Y101">
        <v>10.108138396409075</v>
      </c>
      <c r="Z101">
        <v>9.2607818493311953</v>
      </c>
      <c r="AA101">
        <v>2.9498735318590263</v>
      </c>
      <c r="AB101">
        <v>5.9770314806854259</v>
      </c>
      <c r="AC101">
        <v>9.9737935539738771</v>
      </c>
      <c r="AD101">
        <v>0.75716342075962473</v>
      </c>
      <c r="AE101">
        <v>11.056162398353635</v>
      </c>
      <c r="AF101">
        <v>13.398526185576173</v>
      </c>
      <c r="AG101">
        <v>8.511588005260549</v>
      </c>
      <c r="AH101">
        <v>2.2769730254695872</v>
      </c>
      <c r="AI101">
        <v>3.8305377702658348</v>
      </c>
      <c r="AJ101">
        <v>5.7019524555439887</v>
      </c>
      <c r="AK101">
        <v>6.2349003186407117</v>
      </c>
      <c r="AL101">
        <v>6.2012229801812708</v>
      </c>
      <c r="AM101">
        <v>6.036150515179699</v>
      </c>
      <c r="AN101">
        <v>2.3737533349620605</v>
      </c>
      <c r="AO101">
        <v>4.2585147305988897</v>
      </c>
      <c r="AP101">
        <v>5.0997658538634028</v>
      </c>
      <c r="AQ101">
        <v>-5.8825801724999138</v>
      </c>
      <c r="AR101">
        <v>2.5066413044554992</v>
      </c>
      <c r="AS101">
        <v>7.6634671408886845</v>
      </c>
      <c r="AT101">
        <v>0.56080027854063985</v>
      </c>
      <c r="AU101">
        <v>1.6566951666865464</v>
      </c>
      <c r="AV101">
        <v>3.0562916918869689</v>
      </c>
      <c r="AW101">
        <v>8.7000634810113837</v>
      </c>
      <c r="AX101">
        <v>7.388152214446734</v>
      </c>
      <c r="AY101">
        <v>7.032628866006263</v>
      </c>
      <c r="AZ101">
        <v>6.4648364999303425</v>
      </c>
      <c r="BA101">
        <v>2.1278513615475845</v>
      </c>
      <c r="BB101">
        <v>-2.4590556878487604</v>
      </c>
      <c r="BC101">
        <v>6.76769054741861</v>
      </c>
      <c r="BD101">
        <v>4.8147324376658815</v>
      </c>
      <c r="BE101">
        <v>1.7003199438507863</v>
      </c>
      <c r="BF101">
        <v>3.1015529558384998</v>
      </c>
      <c r="BG101">
        <v>2.7623842254156159</v>
      </c>
      <c r="BH101">
        <v>2.3878470674727055</v>
      </c>
      <c r="BI101">
        <v>2.1754189894251965</v>
      </c>
      <c r="BJ101">
        <v>3.7961031456443095</v>
      </c>
      <c r="BK101">
        <v>2.8469205338901276</v>
      </c>
      <c r="BL101">
        <v>-1.6724316532726391</v>
      </c>
      <c r="BM101">
        <v>-6.5447991100155605</v>
      </c>
      <c r="BN101">
        <v>6.4417238260079444</v>
      </c>
      <c r="BO101">
        <v>-3.4763298649543088</v>
      </c>
    </row>
    <row r="102" spans="1:67">
      <c r="A102" t="s">
        <v>974</v>
      </c>
      <c r="B102" t="s">
        <v>975</v>
      </c>
      <c r="C102" t="s">
        <v>784</v>
      </c>
      <c r="D102" t="s">
        <v>785</v>
      </c>
      <c r="F102">
        <v>1.8556593208204362</v>
      </c>
      <c r="G102">
        <v>5.7648460405448958</v>
      </c>
      <c r="H102">
        <v>3.5804367075503762</v>
      </c>
      <c r="I102">
        <v>5.4166455711631869</v>
      </c>
      <c r="J102">
        <v>9.0371564885594751</v>
      </c>
      <c r="K102">
        <v>5.3738422706956896</v>
      </c>
      <c r="L102">
        <v>5.9775428581695991</v>
      </c>
      <c r="M102">
        <v>6.5981832445984878</v>
      </c>
      <c r="N102">
        <v>0.65543884657029139</v>
      </c>
      <c r="O102">
        <v>3.626720940310463</v>
      </c>
      <c r="P102">
        <v>3.9950036069328121</v>
      </c>
      <c r="Q102">
        <v>5.762304882423706</v>
      </c>
      <c r="R102">
        <v>7.8698525032513658</v>
      </c>
      <c r="S102">
        <v>-1.2276417312355505</v>
      </c>
      <c r="T102">
        <v>2.1306817628165931</v>
      </c>
      <c r="U102">
        <v>10.500693056519324</v>
      </c>
      <c r="V102">
        <v>10.383889090211468</v>
      </c>
      <c r="W102">
        <v>5.966211807189282</v>
      </c>
      <c r="X102">
        <v>5.6099266923249331</v>
      </c>
      <c r="Y102">
        <v>0.59935405252360852</v>
      </c>
      <c r="Z102">
        <v>-1.2220350240018263</v>
      </c>
      <c r="AA102">
        <v>-2.0746608951461099</v>
      </c>
      <c r="AB102">
        <v>0.90569388389398853</v>
      </c>
      <c r="AC102">
        <v>6.327295760862313</v>
      </c>
      <c r="AD102">
        <v>5.6262348492033993</v>
      </c>
      <c r="AE102">
        <v>5.3307744175355793</v>
      </c>
      <c r="AF102">
        <v>6.6383559804035599</v>
      </c>
      <c r="AG102">
        <v>1.7460338067292014</v>
      </c>
      <c r="AH102">
        <v>2.7278489293241677</v>
      </c>
      <c r="AI102">
        <v>2.7917489495977037</v>
      </c>
      <c r="AJ102">
        <v>-3.3193084230375405</v>
      </c>
      <c r="AK102">
        <v>6.0736878770601948</v>
      </c>
      <c r="AL102">
        <v>6.4957182081885918</v>
      </c>
      <c r="AM102">
        <v>0.2119034986425703</v>
      </c>
      <c r="AN102">
        <v>6.1893045575923509</v>
      </c>
      <c r="AO102">
        <v>1.870776293881633</v>
      </c>
      <c r="AP102">
        <v>4.5980830624853866</v>
      </c>
      <c r="AQ102">
        <v>3.5902330335791106</v>
      </c>
      <c r="AR102">
        <v>-0.73565108544769942</v>
      </c>
      <c r="AS102">
        <v>7.291288158696176</v>
      </c>
      <c r="AT102">
        <v>2.7231932732137949</v>
      </c>
      <c r="AU102">
        <v>3.7543378611993887</v>
      </c>
      <c r="AV102">
        <v>4.5470380516539706</v>
      </c>
      <c r="AW102">
        <v>6.2323029606910154</v>
      </c>
      <c r="AX102">
        <v>6.0505992221597324</v>
      </c>
      <c r="AY102">
        <v>6.5672435517758743</v>
      </c>
      <c r="AZ102">
        <v>6.1883271667800841</v>
      </c>
      <c r="BA102">
        <v>4.2316001100934244</v>
      </c>
      <c r="BB102">
        <v>-2.4316278798801108</v>
      </c>
      <c r="BC102">
        <v>3.7311403443300861</v>
      </c>
      <c r="BD102">
        <v>3.8356906620750522</v>
      </c>
      <c r="BE102">
        <v>4.1286877486693925</v>
      </c>
      <c r="BF102">
        <v>2.7915597574680078</v>
      </c>
      <c r="BG102">
        <v>3.0580805621437008</v>
      </c>
      <c r="BH102">
        <v>3.840079970939513</v>
      </c>
      <c r="BI102">
        <v>3.8929721972641289</v>
      </c>
      <c r="BJ102">
        <v>4.8429139105038672</v>
      </c>
      <c r="BK102">
        <v>3.8449947696673519</v>
      </c>
      <c r="BL102">
        <v>2.653066254803548</v>
      </c>
      <c r="BM102">
        <v>-8.9647601840458435</v>
      </c>
      <c r="BN102">
        <v>12.534096015773869</v>
      </c>
      <c r="BO102">
        <v>3.9979498146828831</v>
      </c>
    </row>
    <row r="103" spans="1:67">
      <c r="A103" t="s">
        <v>976</v>
      </c>
      <c r="B103" t="s">
        <v>977</v>
      </c>
      <c r="C103" t="s">
        <v>784</v>
      </c>
      <c r="D103" t="s">
        <v>785</v>
      </c>
      <c r="F103">
        <v>-0.29738282505020663</v>
      </c>
      <c r="G103">
        <v>7.4010962748595688</v>
      </c>
      <c r="H103">
        <v>2.7462640156253002</v>
      </c>
      <c r="I103">
        <v>2.9602229262235369</v>
      </c>
      <c r="J103">
        <v>4.0155549326327105</v>
      </c>
      <c r="K103">
        <v>2.4512505671831093</v>
      </c>
      <c r="L103">
        <v>1.8246659411347252</v>
      </c>
      <c r="M103">
        <v>4.2998745138849159</v>
      </c>
      <c r="N103">
        <v>4.6261965383750407</v>
      </c>
      <c r="O103">
        <v>4.5161922752480166</v>
      </c>
      <c r="P103">
        <v>4.3698844708947462</v>
      </c>
      <c r="Q103">
        <v>1.2437395429880809</v>
      </c>
      <c r="R103">
        <v>3.204052200848011</v>
      </c>
      <c r="S103">
        <v>5.836933443050512</v>
      </c>
      <c r="T103">
        <v>2.705445489115661</v>
      </c>
      <c r="U103">
        <v>4.7745321462977444</v>
      </c>
      <c r="V103">
        <v>4.0713022465837696</v>
      </c>
      <c r="W103">
        <v>1.8777667736203654</v>
      </c>
      <c r="X103">
        <v>0.26614522080893721</v>
      </c>
      <c r="Y103">
        <v>0.35198758754799542</v>
      </c>
      <c r="Z103">
        <v>3.3836162914147252</v>
      </c>
      <c r="AA103">
        <v>0.93763863556799265</v>
      </c>
      <c r="AB103">
        <v>0.60409871977982732</v>
      </c>
      <c r="AC103">
        <v>0.80177703179180071</v>
      </c>
      <c r="AD103">
        <v>1.0725401311986218</v>
      </c>
      <c r="AE103">
        <v>3.2785495378205809</v>
      </c>
      <c r="AF103">
        <v>3.7935849527095655</v>
      </c>
      <c r="AG103">
        <v>0.97221283192546082</v>
      </c>
      <c r="AH103">
        <v>2.3771634557800922</v>
      </c>
      <c r="AI103">
        <v>-0.66677295826140437</v>
      </c>
      <c r="AJ103">
        <v>0.88094758859604383</v>
      </c>
      <c r="AK103">
        <v>-0.44768907839925021</v>
      </c>
      <c r="AL103">
        <v>0.80522182400383713</v>
      </c>
      <c r="AM103">
        <v>9.9664905037030849E-2</v>
      </c>
      <c r="AN103">
        <v>5.089811610192001</v>
      </c>
      <c r="AO103">
        <v>5.1487741512606675</v>
      </c>
      <c r="AP103">
        <v>6.2204517328722488</v>
      </c>
      <c r="AQ103">
        <v>3.4244832560469831</v>
      </c>
      <c r="AR103">
        <v>2.9897470652489204</v>
      </c>
      <c r="AS103">
        <v>2.9713708545344559</v>
      </c>
      <c r="AT103">
        <v>4.0396372509172949</v>
      </c>
      <c r="AU103">
        <v>3.5353379466431818</v>
      </c>
      <c r="AV103">
        <v>4.0355553271132578</v>
      </c>
      <c r="AW103">
        <v>5.6096639663887515</v>
      </c>
      <c r="AX103">
        <v>5.5568485927604598</v>
      </c>
      <c r="AY103">
        <v>5.9067495758024222</v>
      </c>
      <c r="AZ103">
        <v>5.4716546456478028</v>
      </c>
      <c r="BA103">
        <v>5.4949058827385358</v>
      </c>
      <c r="BB103">
        <v>3.2308567879229457</v>
      </c>
      <c r="BC103">
        <v>5.9369615061630583</v>
      </c>
      <c r="BD103">
        <v>3.9151557693870416</v>
      </c>
      <c r="BE103">
        <v>2.6151782819587197</v>
      </c>
      <c r="BF103">
        <v>5.5364373607490904</v>
      </c>
      <c r="BG103">
        <v>5.7883904371931436</v>
      </c>
      <c r="BH103">
        <v>4.6742774660961715</v>
      </c>
      <c r="BI103">
        <v>4.3986754081846442</v>
      </c>
      <c r="BJ103">
        <v>4.8001166574384229</v>
      </c>
      <c r="BK103">
        <v>3.8814010348503558</v>
      </c>
      <c r="BL103">
        <v>4.1230733958627326</v>
      </c>
      <c r="BM103">
        <v>0.14923656615555103</v>
      </c>
      <c r="BN103">
        <v>3.9535616989901001</v>
      </c>
      <c r="BO103">
        <v>4.5660479963584635</v>
      </c>
    </row>
    <row r="104" spans="1:67">
      <c r="A104" t="s">
        <v>978</v>
      </c>
      <c r="B104" t="s">
        <v>979</v>
      </c>
      <c r="C104" t="s">
        <v>784</v>
      </c>
      <c r="D104" t="s">
        <v>785</v>
      </c>
      <c r="AO104">
        <v>6.0472680737013746</v>
      </c>
      <c r="AP104">
        <v>6.1693811051433158</v>
      </c>
      <c r="AQ104">
        <v>2.2469758154967394</v>
      </c>
      <c r="AR104">
        <v>-0.8558732876103079</v>
      </c>
      <c r="AS104">
        <v>2.9562746775945641</v>
      </c>
      <c r="AT104">
        <v>3.1208643882292222</v>
      </c>
      <c r="AU104">
        <v>5.8205778248792086</v>
      </c>
      <c r="AV104">
        <v>5.5996334549978286</v>
      </c>
      <c r="AW104">
        <v>4.1799487128833022</v>
      </c>
      <c r="AX104">
        <v>4.3074928479910568</v>
      </c>
      <c r="AY104">
        <v>5.076835405246058</v>
      </c>
      <c r="AZ104">
        <v>5.0750218120692665</v>
      </c>
      <c r="BA104">
        <v>2.0116534187522035</v>
      </c>
      <c r="BB104">
        <v>-7.2179072545037002</v>
      </c>
      <c r="BC104">
        <v>-1.243071345902564</v>
      </c>
      <c r="BD104">
        <v>-8.2944286753246388E-2</v>
      </c>
      <c r="BE104">
        <v>-2.3399067981829234</v>
      </c>
      <c r="BF104">
        <v>-0.39679361922185308</v>
      </c>
      <c r="BG104">
        <v>-0.42562376835118698</v>
      </c>
      <c r="BH104">
        <v>2.5225533986331357</v>
      </c>
      <c r="BI104">
        <v>3.5622878289271398</v>
      </c>
      <c r="BJ104">
        <v>3.3995739593672738</v>
      </c>
      <c r="BK104">
        <v>2.820323138453702</v>
      </c>
      <c r="BL104">
        <v>3.3997166125116109</v>
      </c>
      <c r="BM104">
        <v>-8.5914237602220567</v>
      </c>
      <c r="BN104">
        <v>13.784946641796395</v>
      </c>
      <c r="BO104">
        <v>6.3471145415714858</v>
      </c>
    </row>
    <row r="105" spans="1:67">
      <c r="A105" t="s">
        <v>980</v>
      </c>
      <c r="B105" t="s">
        <v>981</v>
      </c>
      <c r="C105" t="s">
        <v>784</v>
      </c>
      <c r="D105" t="s">
        <v>785</v>
      </c>
      <c r="F105">
        <v>-2.9319802912678057</v>
      </c>
      <c r="G105">
        <v>7.8875758938556544</v>
      </c>
      <c r="H105">
        <v>-1.8927925505704053</v>
      </c>
      <c r="I105">
        <v>-1.6473573688753333</v>
      </c>
      <c r="J105">
        <v>2.1617978614489175</v>
      </c>
      <c r="K105">
        <v>-0.57578680104617774</v>
      </c>
      <c r="L105">
        <v>-2.1176862010635489</v>
      </c>
      <c r="M105">
        <v>3.1816173214892558</v>
      </c>
      <c r="N105">
        <v>3.8119432848659187</v>
      </c>
      <c r="O105">
        <v>0.6511537080341725</v>
      </c>
      <c r="P105">
        <v>6.4803805013228839</v>
      </c>
      <c r="Q105">
        <v>0.97710775896666746</v>
      </c>
      <c r="R105">
        <v>4.7553220916891803</v>
      </c>
      <c r="S105">
        <v>5.7798891517062145</v>
      </c>
      <c r="T105">
        <v>1.1227544910428406</v>
      </c>
      <c r="U105">
        <v>8.4388354296335706</v>
      </c>
      <c r="V105">
        <v>3.7081464367304022</v>
      </c>
      <c r="W105">
        <v>6.2088635364854667</v>
      </c>
      <c r="X105">
        <v>7.5604214016743043</v>
      </c>
      <c r="Y105">
        <v>7.3746879193907944</v>
      </c>
      <c r="Z105">
        <v>-2.8527097111516468</v>
      </c>
      <c r="AA105">
        <v>-3.5637452243429664</v>
      </c>
      <c r="AB105">
        <v>0.90818146126979116</v>
      </c>
      <c r="AC105">
        <v>0.3009170362364415</v>
      </c>
      <c r="AD105">
        <v>0.6036312943696629</v>
      </c>
      <c r="AE105">
        <v>-0.49750478837236756</v>
      </c>
      <c r="AF105">
        <v>-0.79364870019708178</v>
      </c>
      <c r="AG105">
        <v>0.20042683732594924</v>
      </c>
      <c r="AH105">
        <v>-2.9134243980719248</v>
      </c>
      <c r="AI105">
        <v>1.0381228019824817</v>
      </c>
      <c r="AJ105">
        <v>1.8805447239628137</v>
      </c>
      <c r="AK105">
        <v>-5.3099329225117771</v>
      </c>
      <c r="AL105">
        <v>-5.4262959921538254</v>
      </c>
      <c r="AM105">
        <v>-11.950629293956098</v>
      </c>
      <c r="AN105">
        <v>9.897707488157053</v>
      </c>
      <c r="AO105">
        <v>4.1407733285678319</v>
      </c>
      <c r="AP105">
        <v>2.7047139307778707</v>
      </c>
      <c r="AQ105">
        <v>2.1818403295712301</v>
      </c>
      <c r="AR105">
        <v>2.7102480104849889</v>
      </c>
      <c r="AS105">
        <v>0.87005925942489171</v>
      </c>
      <c r="AT105">
        <v>-0.34274788325214445</v>
      </c>
      <c r="AU105">
        <v>1.0518201345010851</v>
      </c>
      <c r="AV105">
        <v>3.4807797318832598</v>
      </c>
      <c r="AW105">
        <v>-1.3178567596495014</v>
      </c>
      <c r="AX105">
        <v>3.0721733766473136</v>
      </c>
      <c r="AY105">
        <v>1.7687506028819513</v>
      </c>
      <c r="AZ105">
        <v>4.7065299400830298</v>
      </c>
      <c r="BA105">
        <v>2.6580323082746986</v>
      </c>
      <c r="BB105">
        <v>5.890378948443157</v>
      </c>
      <c r="BC105">
        <v>-5.6515115344829923</v>
      </c>
      <c r="BD105">
        <v>5.0982135441003607</v>
      </c>
      <c r="BE105">
        <v>0.50242440358158547</v>
      </c>
      <c r="BF105">
        <v>4.3247841147287431</v>
      </c>
      <c r="BG105">
        <v>2.8887725153605288</v>
      </c>
      <c r="BH105">
        <v>1.4000000019678964</v>
      </c>
      <c r="BI105">
        <v>1.8124680784753195</v>
      </c>
      <c r="BJ105">
        <v>2.5102713454468528</v>
      </c>
      <c r="BK105">
        <v>1.6678109548465585</v>
      </c>
      <c r="BL105">
        <v>-1.7230969953541262</v>
      </c>
      <c r="BM105">
        <v>-3.3055054726481927</v>
      </c>
      <c r="BN105">
        <v>-1.798239889314857</v>
      </c>
      <c r="BO105">
        <v>-1.6819839754911641</v>
      </c>
    </row>
    <row r="106" spans="1:67">
      <c r="A106" t="s">
        <v>982</v>
      </c>
      <c r="B106" t="s">
        <v>983</v>
      </c>
      <c r="C106" t="s">
        <v>784</v>
      </c>
      <c r="D106" t="s">
        <v>785</v>
      </c>
      <c r="AK106">
        <v>-3.0641803465436936</v>
      </c>
      <c r="AL106">
        <v>-0.57610851776655636</v>
      </c>
      <c r="AM106">
        <v>2.9471545562986137</v>
      </c>
      <c r="AN106">
        <v>1.4895254762230081</v>
      </c>
      <c r="AO106">
        <v>8.2413297607502045E-2</v>
      </c>
      <c r="AP106">
        <v>3.1431221936126974</v>
      </c>
      <c r="AQ106">
        <v>3.9000045011963635</v>
      </c>
      <c r="AR106">
        <v>3.0710268664907829</v>
      </c>
      <c r="AS106">
        <v>4.4791947319757099</v>
      </c>
      <c r="AT106">
        <v>4.074088032738544</v>
      </c>
      <c r="AU106">
        <v>4.7412865464826979</v>
      </c>
      <c r="AV106">
        <v>4.0742497458520859</v>
      </c>
      <c r="AW106">
        <v>5.0046206916491514</v>
      </c>
      <c r="AX106">
        <v>4.2942776100917825</v>
      </c>
      <c r="AY106">
        <v>3.946066880293202</v>
      </c>
      <c r="AZ106">
        <v>0.27737277232580482</v>
      </c>
      <c r="BA106">
        <v>1.0039430290089655</v>
      </c>
      <c r="BB106">
        <v>-6.5978672185016904</v>
      </c>
      <c r="BC106">
        <v>1.0762540427766965</v>
      </c>
      <c r="BD106">
        <v>1.8668374754429777</v>
      </c>
      <c r="BE106">
        <v>-1.2502260234706313</v>
      </c>
      <c r="BF106">
        <v>1.8025221008226566</v>
      </c>
      <c r="BG106">
        <v>4.2322098061426914</v>
      </c>
      <c r="BH106">
        <v>3.7073159793626047</v>
      </c>
      <c r="BI106">
        <v>2.2010018929385637</v>
      </c>
      <c r="BJ106">
        <v>4.2719760162069491</v>
      </c>
      <c r="BK106">
        <v>5.3623483617622298</v>
      </c>
      <c r="BL106">
        <v>4.8642257351189073</v>
      </c>
      <c r="BM106">
        <v>-4.5355508328156731</v>
      </c>
      <c r="BN106">
        <v>7.0857208459227365</v>
      </c>
      <c r="BO106">
        <v>4.5545566416228951</v>
      </c>
    </row>
    <row r="107" spans="1:67">
      <c r="A107" t="s">
        <v>984</v>
      </c>
      <c r="B107" t="s">
        <v>985</v>
      </c>
      <c r="C107" t="s">
        <v>784</v>
      </c>
      <c r="D107" t="s">
        <v>785</v>
      </c>
      <c r="F107">
        <v>1.1204445082951651</v>
      </c>
      <c r="G107">
        <v>3.0735776997426996</v>
      </c>
      <c r="H107">
        <v>4.6311740938138399</v>
      </c>
      <c r="I107">
        <v>8.0242786444277243</v>
      </c>
      <c r="J107">
        <v>6.0123343358383607</v>
      </c>
      <c r="K107">
        <v>5.5393554207522584</v>
      </c>
      <c r="L107">
        <v>4.120568863928284</v>
      </c>
      <c r="M107">
        <v>5.9693564973453164</v>
      </c>
      <c r="N107">
        <v>7.8256678511068998</v>
      </c>
      <c r="O107">
        <v>7.7421600286025267</v>
      </c>
      <c r="P107">
        <v>6.3236119501315784</v>
      </c>
      <c r="Q107">
        <v>6.5968130623621448</v>
      </c>
      <c r="R107">
        <v>7.1216198720181154</v>
      </c>
      <c r="S107">
        <v>5.5576956671087032</v>
      </c>
      <c r="T107">
        <v>4.7066613697434718</v>
      </c>
      <c r="U107">
        <v>6.0487320172450723</v>
      </c>
      <c r="V107">
        <v>4.5777600428428542</v>
      </c>
      <c r="W107">
        <v>4.1063301118765736</v>
      </c>
      <c r="X107">
        <v>4.73788273684373</v>
      </c>
      <c r="Y107">
        <v>5.1536203202429789</v>
      </c>
      <c r="Z107">
        <v>2.5555649753918885</v>
      </c>
      <c r="AA107">
        <v>2.8656414871366991</v>
      </c>
      <c r="AB107">
        <v>1.7561538594675881</v>
      </c>
      <c r="AC107">
        <v>5.0334949734751007</v>
      </c>
      <c r="AD107">
        <v>4.4121600671664112</v>
      </c>
      <c r="AE107">
        <v>4.0335635910664536</v>
      </c>
      <c r="AF107">
        <v>5.0802293543007693</v>
      </c>
      <c r="AG107">
        <v>4.0148757056414581</v>
      </c>
      <c r="AH107">
        <v>3.166994955824137</v>
      </c>
      <c r="AI107">
        <v>1.9440586016000054</v>
      </c>
      <c r="AJ107">
        <v>1.2196952767883147</v>
      </c>
      <c r="AK107">
        <v>1.7064674217769351</v>
      </c>
      <c r="AL107">
        <v>3.8245033898259351</v>
      </c>
      <c r="AM107">
        <v>3.6501346438133027</v>
      </c>
      <c r="AN107">
        <v>4.0202735576064157</v>
      </c>
      <c r="AO107">
        <v>5.5068724795327597</v>
      </c>
      <c r="AP107">
        <v>5.3595499772429491</v>
      </c>
      <c r="AQ107">
        <v>2.694767819996045</v>
      </c>
      <c r="AR107">
        <v>3.7622451479764294</v>
      </c>
      <c r="AS107">
        <v>5.9001657391651037</v>
      </c>
      <c r="AT107">
        <v>3.6245172202716134</v>
      </c>
      <c r="AU107">
        <v>4.5704719433186511</v>
      </c>
      <c r="AV107">
        <v>5.948651539763631</v>
      </c>
      <c r="AW107">
        <v>7.6466428206749271</v>
      </c>
      <c r="AX107">
        <v>7.1900808813754935</v>
      </c>
      <c r="AY107">
        <v>8.2912659362762042</v>
      </c>
      <c r="AZ107">
        <v>8.9579341531792949</v>
      </c>
      <c r="BA107">
        <v>5.90718478525622</v>
      </c>
      <c r="BB107">
        <v>2.7898799607224873</v>
      </c>
      <c r="BC107">
        <v>7.80800367745465</v>
      </c>
      <c r="BD107">
        <v>6.381907373604804</v>
      </c>
      <c r="BE107">
        <v>5.4569054641413004</v>
      </c>
      <c r="BF107">
        <v>5.216624399041379</v>
      </c>
      <c r="BG107">
        <v>4.7898132232252948</v>
      </c>
      <c r="BH107">
        <v>4.4077942794766614</v>
      </c>
      <c r="BI107">
        <v>4.5486679059774104</v>
      </c>
      <c r="BJ107">
        <v>5.2299551806097639</v>
      </c>
      <c r="BK107">
        <v>4.9378641068723539</v>
      </c>
      <c r="BL107">
        <v>3.9742050622616034</v>
      </c>
      <c r="BM107">
        <v>-1.3480288101130355</v>
      </c>
      <c r="BN107">
        <v>7.4847440429187913</v>
      </c>
      <c r="BO107">
        <v>3.5819850327034857</v>
      </c>
    </row>
    <row r="108" spans="1:67">
      <c r="A108" t="s">
        <v>986</v>
      </c>
      <c r="B108" t="s">
        <v>987</v>
      </c>
      <c r="C108" t="s">
        <v>784</v>
      </c>
      <c r="D108" t="s">
        <v>785</v>
      </c>
      <c r="F108">
        <v>1.1252682614429261</v>
      </c>
      <c r="G108">
        <v>3.5113648103860271</v>
      </c>
      <c r="H108">
        <v>4.6370773120872855</v>
      </c>
      <c r="I108">
        <v>7.5188731251280387</v>
      </c>
      <c r="J108">
        <v>5.7880594789660051</v>
      </c>
      <c r="K108">
        <v>4.8607761007950216</v>
      </c>
      <c r="L108">
        <v>3.134255500772781</v>
      </c>
      <c r="M108">
        <v>5.6871254979718628</v>
      </c>
      <c r="N108">
        <v>8.0216883821013312</v>
      </c>
      <c r="O108">
        <v>8.131224585375378</v>
      </c>
      <c r="P108">
        <v>6.3296023551270792</v>
      </c>
      <c r="Q108">
        <v>5.8968346346612179</v>
      </c>
      <c r="R108">
        <v>6.742500553860225</v>
      </c>
      <c r="S108">
        <v>5.8356392261500076</v>
      </c>
      <c r="T108">
        <v>4.053621424833878</v>
      </c>
      <c r="U108">
        <v>6.0404909811545622</v>
      </c>
      <c r="V108">
        <v>4.5578079647004728</v>
      </c>
      <c r="W108">
        <v>3.7070276185839504</v>
      </c>
      <c r="X108">
        <v>4.6034386011683353</v>
      </c>
      <c r="Y108">
        <v>4.9695061114012304</v>
      </c>
      <c r="Z108">
        <v>2.1974544402214633</v>
      </c>
      <c r="AA108">
        <v>2.5340604269786553</v>
      </c>
      <c r="AB108">
        <v>1.4604891593490379</v>
      </c>
      <c r="AC108">
        <v>4.6294181863865163</v>
      </c>
      <c r="AD108">
        <v>4.3674509003853501</v>
      </c>
      <c r="AE108">
        <v>3.9264481935501436</v>
      </c>
      <c r="AF108">
        <v>4.9350945606392571</v>
      </c>
      <c r="AG108">
        <v>4.0736189220185821</v>
      </c>
      <c r="AH108">
        <v>3.0954011402212274</v>
      </c>
      <c r="AI108">
        <v>2.1276412149538118</v>
      </c>
      <c r="AJ108">
        <v>1.2892872632134669</v>
      </c>
      <c r="AK108">
        <v>1.7585297433100351</v>
      </c>
      <c r="AL108">
        <v>3.5638014397072197</v>
      </c>
      <c r="AM108">
        <v>3.4132676884041047</v>
      </c>
      <c r="AN108">
        <v>3.9846421809944417</v>
      </c>
      <c r="AO108">
        <v>5.4499724831556478</v>
      </c>
      <c r="AP108">
        <v>5.2403493262561227</v>
      </c>
      <c r="AQ108">
        <v>2.758041646995153</v>
      </c>
      <c r="AR108">
        <v>3.6865675559349285</v>
      </c>
      <c r="AS108">
        <v>5.7278725664930334</v>
      </c>
      <c r="AT108">
        <v>3.6713343795811539</v>
      </c>
      <c r="AU108">
        <v>4.6361587809355029</v>
      </c>
      <c r="AV108">
        <v>5.8602430028062997</v>
      </c>
      <c r="AW108">
        <v>7.5616331882294219</v>
      </c>
      <c r="AX108">
        <v>7.1037399609394924</v>
      </c>
      <c r="AY108">
        <v>8.1051184661685483</v>
      </c>
      <c r="AZ108">
        <v>8.7061210294139073</v>
      </c>
      <c r="BA108">
        <v>5.8349578432008684</v>
      </c>
      <c r="BB108">
        <v>2.9616605009328083</v>
      </c>
      <c r="BC108">
        <v>7.6702893653435495</v>
      </c>
      <c r="BD108">
        <v>6.1883520330068222</v>
      </c>
      <c r="BE108">
        <v>5.2578426580361537</v>
      </c>
      <c r="BF108">
        <v>5.2166903607247832</v>
      </c>
      <c r="BG108">
        <v>4.8437549782790228</v>
      </c>
      <c r="BH108">
        <v>4.3271146105833083</v>
      </c>
      <c r="BI108">
        <v>4.447572922169968</v>
      </c>
      <c r="BJ108">
        <v>5.1273308137834732</v>
      </c>
      <c r="BK108">
        <v>4.8840053348944537</v>
      </c>
      <c r="BL108">
        <v>3.96321661604604</v>
      </c>
      <c r="BM108">
        <v>-1.3060201091400643</v>
      </c>
      <c r="BN108">
        <v>7.241220580282473</v>
      </c>
      <c r="BO108">
        <v>3.6281241861541673</v>
      </c>
    </row>
    <row r="109" spans="1:67">
      <c r="A109" t="s">
        <v>988</v>
      </c>
      <c r="B109" t="s">
        <v>989</v>
      </c>
      <c r="C109" t="s">
        <v>784</v>
      </c>
      <c r="D109" t="s">
        <v>785</v>
      </c>
      <c r="F109">
        <v>1.1529505327490597</v>
      </c>
      <c r="G109">
        <v>5.9407261481984079</v>
      </c>
      <c r="H109">
        <v>4.668948803880582</v>
      </c>
      <c r="I109">
        <v>4.791172102427609</v>
      </c>
      <c r="J109">
        <v>4.5402908823780876</v>
      </c>
      <c r="K109">
        <v>0.98335082595018264</v>
      </c>
      <c r="L109">
        <v>-2.8147730176356021</v>
      </c>
      <c r="M109">
        <v>3.8764451997792548</v>
      </c>
      <c r="N109">
        <v>9.3125424280317191</v>
      </c>
      <c r="O109">
        <v>10.65848159259437</v>
      </c>
      <c r="P109">
        <v>6.3674456615347594</v>
      </c>
      <c r="Q109">
        <v>1.4766690709802361</v>
      </c>
      <c r="R109">
        <v>4.2276752994833373</v>
      </c>
      <c r="S109">
        <v>7.7305230690145095</v>
      </c>
      <c r="T109">
        <v>-0.3086919197878899</v>
      </c>
      <c r="U109">
        <v>5.9826712664449389</v>
      </c>
      <c r="V109">
        <v>4.4173841922244321</v>
      </c>
      <c r="W109">
        <v>0.89782997640377005</v>
      </c>
      <c r="X109">
        <v>3.6275113433735129</v>
      </c>
      <c r="Y109">
        <v>3.6196184243364939</v>
      </c>
      <c r="Z109">
        <v>-0.48862496855277016</v>
      </c>
      <c r="AA109">
        <v>2.4331072294529577E-2</v>
      </c>
      <c r="AB109">
        <v>-0.81754362264246083</v>
      </c>
      <c r="AC109">
        <v>1.4353056104247912</v>
      </c>
      <c r="AD109">
        <v>4.0000684341961374</v>
      </c>
      <c r="AE109">
        <v>3.0530820775336736</v>
      </c>
      <c r="AF109">
        <v>3.7554408349737827</v>
      </c>
      <c r="AG109">
        <v>4.551615335771686</v>
      </c>
      <c r="AH109">
        <v>2.5249832176708082</v>
      </c>
      <c r="AI109">
        <v>3.9160168647460694</v>
      </c>
      <c r="AJ109">
        <v>1.976809680555732</v>
      </c>
      <c r="AK109">
        <v>2.2690520992102279</v>
      </c>
      <c r="AL109">
        <v>1.0251954976389754</v>
      </c>
      <c r="AM109">
        <v>1.0601191077909391</v>
      </c>
      <c r="AN109">
        <v>3.6214828872601004</v>
      </c>
      <c r="AO109">
        <v>4.8647462142126443</v>
      </c>
      <c r="AP109">
        <v>4.0068428334377586</v>
      </c>
      <c r="AQ109">
        <v>3.4215156393537569</v>
      </c>
      <c r="AR109">
        <v>2.8986069145125555</v>
      </c>
      <c r="AS109">
        <v>3.9089704400271614</v>
      </c>
      <c r="AT109">
        <v>4.1735415387923638</v>
      </c>
      <c r="AU109">
        <v>5.3369719023992559</v>
      </c>
      <c r="AV109">
        <v>4.9299683443509252</v>
      </c>
      <c r="AW109">
        <v>6.6584392439261535</v>
      </c>
      <c r="AX109">
        <v>6.1778993464383944</v>
      </c>
      <c r="AY109">
        <v>6.0900158718009294</v>
      </c>
      <c r="AZ109">
        <v>5.9236073967277036</v>
      </c>
      <c r="BA109">
        <v>5.0139935549317016</v>
      </c>
      <c r="BB109">
        <v>4.8999898625994263</v>
      </c>
      <c r="BC109">
        <v>6.1476130233575503</v>
      </c>
      <c r="BD109">
        <v>4.0147779176822525</v>
      </c>
      <c r="BE109">
        <v>2.9715483084125083</v>
      </c>
      <c r="BF109">
        <v>5.217466235320714</v>
      </c>
      <c r="BG109">
        <v>5.4756898898043147</v>
      </c>
      <c r="BH109">
        <v>3.3880876208413895</v>
      </c>
      <c r="BI109">
        <v>3.2593279273953328</v>
      </c>
      <c r="BJ109">
        <v>3.9060484467072598</v>
      </c>
      <c r="BK109">
        <v>4.2348918974789029</v>
      </c>
      <c r="BL109">
        <v>3.8298891762959357</v>
      </c>
      <c r="BM109">
        <v>-0.79560241284737288</v>
      </c>
      <c r="BN109">
        <v>4.2988177852328846</v>
      </c>
      <c r="BO109">
        <v>4.2061486168679494</v>
      </c>
    </row>
    <row r="110" spans="1:67">
      <c r="A110" t="s">
        <v>990</v>
      </c>
      <c r="B110" t="s">
        <v>991</v>
      </c>
      <c r="C110" t="s">
        <v>784</v>
      </c>
      <c r="D110" t="s">
        <v>785</v>
      </c>
      <c r="F110">
        <v>1.3566723603470905</v>
      </c>
      <c r="G110">
        <v>4.3631142799480216</v>
      </c>
      <c r="H110">
        <v>7.9663817650318549</v>
      </c>
      <c r="I110">
        <v>5.2155599536888531</v>
      </c>
      <c r="J110">
        <v>5.7421292675181093</v>
      </c>
      <c r="K110">
        <v>-0.21298826403850057</v>
      </c>
      <c r="L110">
        <v>-7.8242220491102756</v>
      </c>
      <c r="M110">
        <v>2.347001183922373</v>
      </c>
      <c r="N110">
        <v>15.790761612447568</v>
      </c>
      <c r="O110">
        <v>17.984601464012613</v>
      </c>
      <c r="P110">
        <v>10.615601989832072</v>
      </c>
      <c r="Q110">
        <v>4.0700754907635854</v>
      </c>
      <c r="R110">
        <v>5.7164557691178146</v>
      </c>
      <c r="S110">
        <v>8.5564950259532395</v>
      </c>
      <c r="T110">
        <v>-2.0433161790371202</v>
      </c>
      <c r="U110">
        <v>6.3650565401486574</v>
      </c>
      <c r="V110">
        <v>5.2287259495304568</v>
      </c>
      <c r="W110">
        <v>-0.50588575224301735</v>
      </c>
      <c r="X110">
        <v>5.9394742133717955</v>
      </c>
      <c r="Y110">
        <v>5.5804395728625167</v>
      </c>
      <c r="Z110">
        <v>-4.1399981695056738</v>
      </c>
      <c r="AA110">
        <v>-1.0289994711526589</v>
      </c>
      <c r="AB110">
        <v>-2.8899239505838779</v>
      </c>
      <c r="AC110">
        <v>1.6993611749100097</v>
      </c>
      <c r="AD110">
        <v>6.1585963058305708</v>
      </c>
      <c r="AE110">
        <v>2.9277419748730011</v>
      </c>
      <c r="AF110">
        <v>3.8588290897804427</v>
      </c>
      <c r="AG110">
        <v>6.4176383324933113</v>
      </c>
      <c r="AH110">
        <v>3.0973163338135663</v>
      </c>
      <c r="AI110">
        <v>6.4440479040091674</v>
      </c>
      <c r="AJ110">
        <v>2.0036927314729809</v>
      </c>
      <c r="AK110">
        <v>3.0643474923360827</v>
      </c>
      <c r="AL110">
        <v>-0.21800607778772019</v>
      </c>
      <c r="AM110">
        <v>0.90256276883957298</v>
      </c>
      <c r="AN110">
        <v>2.022713851526575</v>
      </c>
      <c r="AO110">
        <v>4.6259680881333765</v>
      </c>
      <c r="AP110">
        <v>1.9870806255652269</v>
      </c>
      <c r="AQ110">
        <v>2.705488184924107</v>
      </c>
      <c r="AR110">
        <v>2.1567480403879955</v>
      </c>
      <c r="AS110">
        <v>3.7107325467861756</v>
      </c>
      <c r="AT110">
        <v>4.3738577236259033</v>
      </c>
      <c r="AU110">
        <v>6.9866783335085501</v>
      </c>
      <c r="AV110">
        <v>5.0120603248633699</v>
      </c>
      <c r="AW110">
        <v>7.6096055863835517</v>
      </c>
      <c r="AX110">
        <v>6.225686056375352</v>
      </c>
      <c r="AY110">
        <v>5.8571901505125368</v>
      </c>
      <c r="AZ110">
        <v>5.6262407681799971</v>
      </c>
      <c r="BA110">
        <v>4.1812761400563403</v>
      </c>
      <c r="BB110">
        <v>6.0132420562317748</v>
      </c>
      <c r="BC110">
        <v>5.9540379767292677</v>
      </c>
      <c r="BD110">
        <v>4.6130208114053346</v>
      </c>
      <c r="BE110">
        <v>4.3792307167475286</v>
      </c>
      <c r="BF110">
        <v>5.5244431299132231</v>
      </c>
      <c r="BG110">
        <v>5.6295863643794632</v>
      </c>
      <c r="BH110">
        <v>3.747512057487782</v>
      </c>
      <c r="BI110">
        <v>2.0957006398037521</v>
      </c>
      <c r="BJ110">
        <v>2.5668743515353469</v>
      </c>
      <c r="BK110">
        <v>3.8593714309911604</v>
      </c>
      <c r="BL110">
        <v>2.7682331441049968</v>
      </c>
      <c r="BM110">
        <v>-1.3910922040106612</v>
      </c>
      <c r="BN110">
        <v>5.1200234209073159</v>
      </c>
      <c r="BO110">
        <v>4.1961965440882523</v>
      </c>
    </row>
    <row r="111" spans="1:67">
      <c r="A111" t="s">
        <v>992</v>
      </c>
      <c r="B111" t="s">
        <v>993</v>
      </c>
      <c r="C111" t="s">
        <v>784</v>
      </c>
      <c r="D111" t="s">
        <v>785</v>
      </c>
      <c r="F111">
        <v>5.740645822743474</v>
      </c>
      <c r="G111">
        <v>1.8419777020646961</v>
      </c>
      <c r="H111">
        <v>-2.2370299843302206</v>
      </c>
      <c r="I111">
        <v>3.5296981484771663</v>
      </c>
      <c r="J111">
        <v>1.0815894666500441</v>
      </c>
      <c r="K111">
        <v>2.7913468254111535</v>
      </c>
      <c r="L111">
        <v>1.3804028052958586</v>
      </c>
      <c r="M111">
        <v>10.915178572328443</v>
      </c>
      <c r="N111">
        <v>6.8222982485670371</v>
      </c>
      <c r="O111">
        <v>7.5546345146063913</v>
      </c>
      <c r="P111">
        <v>7.0239971967414903</v>
      </c>
      <c r="Q111">
        <v>7.0376432075447184</v>
      </c>
      <c r="R111">
        <v>8.1039755352112763</v>
      </c>
      <c r="S111">
        <v>7.2342438172607615</v>
      </c>
      <c r="T111">
        <v>5.6074766355140184</v>
      </c>
      <c r="U111">
        <v>7.0796460176991332</v>
      </c>
      <c r="V111">
        <v>8.2644628099173474</v>
      </c>
      <c r="W111">
        <v>6.8702290076335828</v>
      </c>
      <c r="X111">
        <v>7.1428571428571388</v>
      </c>
      <c r="Y111">
        <v>10</v>
      </c>
      <c r="Z111">
        <v>7.8787878787878896</v>
      </c>
      <c r="AA111">
        <v>2.2471910112359552</v>
      </c>
      <c r="AB111">
        <v>4.3956043956044084</v>
      </c>
      <c r="AC111">
        <v>6.8421052631578902</v>
      </c>
      <c r="AD111">
        <v>2.4630541871921281</v>
      </c>
      <c r="AE111">
        <v>5.7692307692307736</v>
      </c>
      <c r="AF111">
        <v>5</v>
      </c>
      <c r="AG111">
        <v>5.6277056277056232</v>
      </c>
      <c r="AH111">
        <v>7.7868852459016296</v>
      </c>
      <c r="AI111">
        <v>7.2243346007604572</v>
      </c>
      <c r="AJ111">
        <v>6.7758174397163202</v>
      </c>
      <c r="AK111">
        <v>6.4975065187381915</v>
      </c>
      <c r="AL111">
        <v>6.4964081184779161</v>
      </c>
      <c r="AM111">
        <v>7.5399710956423718</v>
      </c>
      <c r="AN111">
        <v>8.2200073994758185</v>
      </c>
      <c r="AO111">
        <v>7.8181870771522881</v>
      </c>
      <c r="AP111">
        <v>4.6998788540334004</v>
      </c>
      <c r="AQ111">
        <v>-13.126725493152037</v>
      </c>
      <c r="AR111">
        <v>0.79112608256164663</v>
      </c>
      <c r="AS111">
        <v>4.9200677477757608</v>
      </c>
      <c r="AT111">
        <v>3.6434664478621528</v>
      </c>
      <c r="AU111">
        <v>4.4994753888963288</v>
      </c>
      <c r="AV111">
        <v>4.7803691237610906</v>
      </c>
      <c r="AW111">
        <v>5.0308739449402395</v>
      </c>
      <c r="AX111">
        <v>5.6925713026131604</v>
      </c>
      <c r="AY111">
        <v>5.5009517853706456</v>
      </c>
      <c r="AZ111">
        <v>6.3450222276184576</v>
      </c>
      <c r="BA111">
        <v>6.0137035992283074</v>
      </c>
      <c r="BB111">
        <v>4.6288711834603191</v>
      </c>
      <c r="BC111">
        <v>6.2238541798264038</v>
      </c>
      <c r="BD111">
        <v>6.1697842077100802</v>
      </c>
      <c r="BE111">
        <v>6.0300506530561506</v>
      </c>
      <c r="BF111">
        <v>5.5572636889100977</v>
      </c>
      <c r="BG111">
        <v>5.0066684257549952</v>
      </c>
      <c r="BH111">
        <v>4.8763223002212328</v>
      </c>
      <c r="BI111">
        <v>5.0330691828017677</v>
      </c>
      <c r="BJ111">
        <v>5.0697859013491637</v>
      </c>
      <c r="BK111">
        <v>5.1742915395502393</v>
      </c>
      <c r="BL111">
        <v>5.0192876804628241</v>
      </c>
      <c r="BM111">
        <v>-2.065511829341645</v>
      </c>
      <c r="BN111">
        <v>3.7030553569093314</v>
      </c>
      <c r="BO111">
        <v>5.3085950054360751</v>
      </c>
    </row>
    <row r="112" spans="1:67">
      <c r="A112" t="s">
        <v>994</v>
      </c>
      <c r="B112" t="s">
        <v>995</v>
      </c>
      <c r="C112" t="s">
        <v>784</v>
      </c>
      <c r="D112" t="s">
        <v>785</v>
      </c>
      <c r="G112">
        <v>7.2678614063832043</v>
      </c>
      <c r="H112">
        <v>1.9701630717899832</v>
      </c>
      <c r="I112">
        <v>4.4234067536597763</v>
      </c>
      <c r="J112">
        <v>3.4909029929103781</v>
      </c>
      <c r="K112">
        <v>2.0506597619462781</v>
      </c>
      <c r="L112">
        <v>1.5479806541215453</v>
      </c>
      <c r="M112">
        <v>5.0700504813683267</v>
      </c>
      <c r="N112">
        <v>4.3878516492154915</v>
      </c>
      <c r="O112">
        <v>4.480860036559136</v>
      </c>
      <c r="P112">
        <v>2.3327676293107373</v>
      </c>
      <c r="Q112">
        <v>-1.1857759135765491</v>
      </c>
      <c r="R112">
        <v>2.6179672023862253</v>
      </c>
      <c r="S112">
        <v>6.8104952579639502</v>
      </c>
      <c r="T112">
        <v>1.655043406366147</v>
      </c>
      <c r="U112">
        <v>5.5655293426797954</v>
      </c>
      <c r="V112">
        <v>3.5255926378849267</v>
      </c>
      <c r="W112">
        <v>2.4723868035111991</v>
      </c>
      <c r="X112">
        <v>1.1095412578183215</v>
      </c>
      <c r="Y112">
        <v>1.385304627755275</v>
      </c>
      <c r="Z112">
        <v>3.7751321074581199</v>
      </c>
      <c r="AA112">
        <v>1.1109575687219291</v>
      </c>
      <c r="AB112">
        <v>1.2327415898293168</v>
      </c>
      <c r="AC112">
        <v>1.1847042422000698</v>
      </c>
      <c r="AD112">
        <v>1.9569476834988109</v>
      </c>
      <c r="AE112">
        <v>3.1737818629428318</v>
      </c>
      <c r="AF112">
        <v>3.6585277706386847</v>
      </c>
      <c r="AG112">
        <v>2.6318899764470558</v>
      </c>
      <c r="AH112">
        <v>1.9370749734189729</v>
      </c>
      <c r="AI112">
        <v>1.2896325888721378</v>
      </c>
      <c r="AJ112">
        <v>1.9493639437921075</v>
      </c>
      <c r="AK112">
        <v>1.4566777921406526</v>
      </c>
      <c r="AL112">
        <v>2.3113249886788481</v>
      </c>
      <c r="AM112">
        <v>1.2167761120711873</v>
      </c>
      <c r="AN112">
        <v>5.2061912926357934</v>
      </c>
      <c r="AO112">
        <v>5.0934871139786821</v>
      </c>
      <c r="AP112">
        <v>5.9330953281109515</v>
      </c>
      <c r="AQ112">
        <v>4.0789556712026069</v>
      </c>
      <c r="AR112">
        <v>3.570775933945697</v>
      </c>
      <c r="AS112">
        <v>4.0861337146166647</v>
      </c>
      <c r="AT112">
        <v>3.9955936711747313</v>
      </c>
      <c r="AU112">
        <v>3.8665278646049046</v>
      </c>
      <c r="AV112">
        <v>4.8555337595577583</v>
      </c>
      <c r="AW112">
        <v>5.7947085862098788</v>
      </c>
      <c r="AX112">
        <v>6.1337609974026321</v>
      </c>
      <c r="AY112">
        <v>6.3052523618360397</v>
      </c>
      <c r="AZ112">
        <v>6.1973502642520373</v>
      </c>
      <c r="BA112">
        <v>5.7764347850460069</v>
      </c>
      <c r="BB112">
        <v>3.9255217659528512</v>
      </c>
      <c r="BC112">
        <v>6.320459822202622</v>
      </c>
      <c r="BD112">
        <v>3.4824365903820791</v>
      </c>
      <c r="BE112">
        <v>1.705248868295655</v>
      </c>
      <c r="BF112">
        <v>4.9340608197679074</v>
      </c>
      <c r="BG112">
        <v>5.3339144135451306</v>
      </c>
      <c r="BH112">
        <v>3.0560422730913928</v>
      </c>
      <c r="BI112">
        <v>4.3415289176776781</v>
      </c>
      <c r="BJ112">
        <v>5.1247049976487205</v>
      </c>
      <c r="BK112">
        <v>4.5683031324693815</v>
      </c>
      <c r="BL112">
        <v>4.7661052202968506</v>
      </c>
      <c r="BM112">
        <v>-0.28048686411401036</v>
      </c>
      <c r="BN112">
        <v>3.5963631882914342</v>
      </c>
      <c r="BO112">
        <v>4.2148859730157824</v>
      </c>
    </row>
    <row r="113" spans="1:67">
      <c r="A113" t="s">
        <v>996</v>
      </c>
      <c r="B113" t="s">
        <v>997</v>
      </c>
      <c r="C113" t="s">
        <v>784</v>
      </c>
      <c r="D113" t="s">
        <v>785</v>
      </c>
      <c r="AD113">
        <v>0.41892306133979673</v>
      </c>
      <c r="AE113">
        <v>19.105538336634382</v>
      </c>
      <c r="AF113">
        <v>9.8963467283020918</v>
      </c>
      <c r="AG113">
        <v>11.829356529532703</v>
      </c>
      <c r="AH113">
        <v>6.8452131574314734</v>
      </c>
      <c r="AI113">
        <v>4.1869768218554668</v>
      </c>
      <c r="AJ113">
        <v>1.6049928827349049</v>
      </c>
      <c r="AK113">
        <v>0.80000248977152921</v>
      </c>
      <c r="AL113">
        <v>2.5999957083552516</v>
      </c>
      <c r="AM113">
        <v>4.0000012037092887</v>
      </c>
      <c r="AN113">
        <v>4.2999982060102155</v>
      </c>
      <c r="AO113">
        <v>7.7000062073612412</v>
      </c>
      <c r="AP113">
        <v>8.5999943330297981</v>
      </c>
      <c r="AQ113">
        <v>13.500005959427156</v>
      </c>
      <c r="AR113">
        <v>13.699997016825364</v>
      </c>
      <c r="AS113">
        <v>5.3000015255280459</v>
      </c>
      <c r="AT113">
        <v>5.3999990312611601</v>
      </c>
      <c r="AU113">
        <v>6.1999981949068399</v>
      </c>
      <c r="AV113">
        <v>5.9999996881264082</v>
      </c>
      <c r="AW113">
        <v>5.2000031040249581</v>
      </c>
      <c r="AX113">
        <v>5.8999993357667506</v>
      </c>
      <c r="AY113">
        <v>7.6999987125343239</v>
      </c>
      <c r="AZ113">
        <v>7.5000002298881725</v>
      </c>
      <c r="BA113">
        <v>4.9000010008154504</v>
      </c>
      <c r="BB113">
        <v>2.1000002718137409</v>
      </c>
      <c r="BC113">
        <v>3.3999984239595733</v>
      </c>
      <c r="BD113">
        <v>1.9999993820741508</v>
      </c>
      <c r="BE113">
        <v>7.3038792667805126</v>
      </c>
      <c r="BF113">
        <v>4.1418683198946553</v>
      </c>
      <c r="BG113">
        <v>5.1550323386343706</v>
      </c>
      <c r="BH113">
        <v>-0.38579840830232115</v>
      </c>
      <c r="BI113">
        <v>6.9523025298442747</v>
      </c>
      <c r="BJ113">
        <v>2.8377623437571486</v>
      </c>
      <c r="BK113">
        <v>2.2133978695134289</v>
      </c>
      <c r="BL113">
        <v>0.25488493005893531</v>
      </c>
      <c r="BM113">
        <v>-8.8362320696157184</v>
      </c>
    </row>
    <row r="114" spans="1:67">
      <c r="A114" t="s">
        <v>998</v>
      </c>
      <c r="B114" t="s">
        <v>999</v>
      </c>
      <c r="C114" t="s">
        <v>784</v>
      </c>
      <c r="D114" t="s">
        <v>785</v>
      </c>
      <c r="F114">
        <v>3.7227425331105337</v>
      </c>
      <c r="G114">
        <v>2.9311277354836278</v>
      </c>
      <c r="H114">
        <v>5.9943532618855926</v>
      </c>
      <c r="I114">
        <v>7.452950122502088</v>
      </c>
      <c r="J114">
        <v>-2.6357701102072753</v>
      </c>
      <c r="K114">
        <v>-5.5328770453797915E-2</v>
      </c>
      <c r="L114">
        <v>7.8259630308223507</v>
      </c>
      <c r="M114">
        <v>3.3879291763414301</v>
      </c>
      <c r="N114">
        <v>6.5397002992835667</v>
      </c>
      <c r="O114">
        <v>5.157229737189553</v>
      </c>
      <c r="P114">
        <v>1.6429303752758244</v>
      </c>
      <c r="Q114">
        <v>-0.55330130534454725</v>
      </c>
      <c r="R114">
        <v>3.2955211347165232</v>
      </c>
      <c r="S114">
        <v>1.1853362546696076</v>
      </c>
      <c r="T114">
        <v>9.1499120157065903</v>
      </c>
      <c r="U114">
        <v>1.6631036381303375</v>
      </c>
      <c r="V114">
        <v>7.2547645876036739</v>
      </c>
      <c r="W114">
        <v>5.7125320886933082</v>
      </c>
      <c r="X114">
        <v>-5.2381827044621758</v>
      </c>
      <c r="Y114">
        <v>6.7358215288197982</v>
      </c>
      <c r="Z114">
        <v>6.0062036260149654</v>
      </c>
      <c r="AA114">
        <v>3.4757332396996077</v>
      </c>
      <c r="AB114">
        <v>7.2888929030570324</v>
      </c>
      <c r="AC114">
        <v>3.8207378561060352</v>
      </c>
      <c r="AD114">
        <v>5.2542992231138186</v>
      </c>
      <c r="AE114">
        <v>4.7765641684751614</v>
      </c>
      <c r="AF114">
        <v>3.9653556348171861</v>
      </c>
      <c r="AG114">
        <v>9.6277829160784449</v>
      </c>
      <c r="AH114">
        <v>5.9473433318132436</v>
      </c>
      <c r="AI114">
        <v>5.5334545612530093</v>
      </c>
      <c r="AJ114">
        <v>1.0568314349606283</v>
      </c>
      <c r="AK114">
        <v>5.48239602040357</v>
      </c>
      <c r="AL114">
        <v>4.7507762177692427</v>
      </c>
      <c r="AM114">
        <v>6.6589240702843426</v>
      </c>
      <c r="AN114">
        <v>7.5744918378851906</v>
      </c>
      <c r="AO114">
        <v>7.549522249200507</v>
      </c>
      <c r="AP114">
        <v>4.0498208499818276</v>
      </c>
      <c r="AQ114">
        <v>6.1844158217211742</v>
      </c>
      <c r="AR114">
        <v>8.8457555593953145</v>
      </c>
      <c r="AS114">
        <v>3.8409911565912864</v>
      </c>
      <c r="AT114">
        <v>4.8239662655577149</v>
      </c>
      <c r="AU114">
        <v>3.8039753211217544</v>
      </c>
      <c r="AV114">
        <v>7.8603814759073032</v>
      </c>
      <c r="AW114">
        <v>7.9229366125900924</v>
      </c>
      <c r="AX114">
        <v>7.9234306210748571</v>
      </c>
      <c r="AY114">
        <v>8.0607325721601057</v>
      </c>
      <c r="AZ114">
        <v>7.66081506586751</v>
      </c>
      <c r="BA114">
        <v>3.0866980595239539</v>
      </c>
      <c r="BB114">
        <v>7.861888832448912</v>
      </c>
      <c r="BC114">
        <v>8.4975847021260904</v>
      </c>
      <c r="BD114">
        <v>5.241315001514451</v>
      </c>
      <c r="BE114">
        <v>5.4563887526115167</v>
      </c>
      <c r="BF114">
        <v>6.3861064011653212</v>
      </c>
      <c r="BG114">
        <v>7.4102276005842498</v>
      </c>
      <c r="BH114">
        <v>7.9962537904031592</v>
      </c>
      <c r="BI114">
        <v>8.2563054990352214</v>
      </c>
      <c r="BJ114">
        <v>6.7953834234342452</v>
      </c>
      <c r="BK114">
        <v>6.453851340741906</v>
      </c>
      <c r="BL114">
        <v>3.8714369392802439</v>
      </c>
      <c r="BM114">
        <v>-5.8310532205086361</v>
      </c>
      <c r="BN114">
        <v>9.0502779086994138</v>
      </c>
      <c r="BO114">
        <v>7.2396932808144925</v>
      </c>
    </row>
    <row r="115" spans="1:67">
      <c r="A115" t="s">
        <v>1000</v>
      </c>
      <c r="B115" t="s">
        <v>1001</v>
      </c>
      <c r="C115" t="s">
        <v>784</v>
      </c>
      <c r="D115" t="s">
        <v>785</v>
      </c>
    </row>
    <row r="116" spans="1:67">
      <c r="A116" t="s">
        <v>1002</v>
      </c>
      <c r="B116" t="s">
        <v>1003</v>
      </c>
      <c r="C116" t="s">
        <v>784</v>
      </c>
      <c r="D116" t="s">
        <v>785</v>
      </c>
      <c r="P116">
        <v>3.4698856458690557</v>
      </c>
      <c r="Q116">
        <v>6.4898080353585641</v>
      </c>
      <c r="R116">
        <v>4.7214280968822351</v>
      </c>
      <c r="S116">
        <v>4.2602309548353929</v>
      </c>
      <c r="T116">
        <v>5.656644723450583</v>
      </c>
      <c r="U116">
        <v>1.3948079095527106</v>
      </c>
      <c r="V116">
        <v>8.2113015126404605</v>
      </c>
      <c r="W116">
        <v>7.1867274509036747</v>
      </c>
      <c r="X116">
        <v>3.0730362721786122</v>
      </c>
      <c r="Y116">
        <v>3.0793290649299792</v>
      </c>
      <c r="Z116">
        <v>3.3252155697938122</v>
      </c>
      <c r="AA116">
        <v>2.2834698183676068</v>
      </c>
      <c r="AB116">
        <v>-0.24430203133705675</v>
      </c>
      <c r="AC116">
        <v>4.3543722316110092</v>
      </c>
      <c r="AD116">
        <v>3.085615628630606</v>
      </c>
      <c r="AE116">
        <v>-0.4283305947523246</v>
      </c>
      <c r="AF116">
        <v>4.663092106966829</v>
      </c>
      <c r="AG116">
        <v>5.217412862370054</v>
      </c>
      <c r="AH116">
        <v>5.8139204682587291</v>
      </c>
      <c r="AI116">
        <v>8.466527781777117</v>
      </c>
      <c r="AJ116">
        <v>1.9296392581850768</v>
      </c>
      <c r="AK116">
        <v>3.3432741011175438</v>
      </c>
      <c r="AL116">
        <v>2.6926095813424098</v>
      </c>
      <c r="AM116">
        <v>5.7558270648266898</v>
      </c>
      <c r="AN116">
        <v>9.6344216191689611</v>
      </c>
      <c r="AO116">
        <v>7.3796252338937478</v>
      </c>
      <c r="AP116">
        <v>11.021764543016673</v>
      </c>
      <c r="AQ116">
        <v>8.7661216870587708</v>
      </c>
      <c r="AR116">
        <v>10.529886291402832</v>
      </c>
      <c r="AS116">
        <v>9.4035246769892638</v>
      </c>
      <c r="AT116">
        <v>5.3058215280826602</v>
      </c>
      <c r="AU116">
        <v>5.8993652689392775</v>
      </c>
      <c r="AV116">
        <v>3.0138386917136586</v>
      </c>
      <c r="AW116">
        <v>6.7881399712700841</v>
      </c>
      <c r="AX116">
        <v>5.7397816721370845</v>
      </c>
      <c r="AY116">
        <v>4.9878538122777485</v>
      </c>
      <c r="AZ116">
        <v>5.3101182205123081</v>
      </c>
      <c r="BA116">
        <v>-4.4840706456980399</v>
      </c>
      <c r="BB116">
        <v>-5.0957831845720989</v>
      </c>
      <c r="BC116">
        <v>1.6829720220435433</v>
      </c>
      <c r="BD116">
        <v>1.2807520913508057</v>
      </c>
      <c r="BE116">
        <v>-0.12969211099498068</v>
      </c>
      <c r="BF116">
        <v>1.1746143739574251</v>
      </c>
      <c r="BG116">
        <v>8.8289987273030022</v>
      </c>
      <c r="BH116">
        <v>24.475253336237657</v>
      </c>
      <c r="BI116">
        <v>1.7655568793753389</v>
      </c>
      <c r="BJ116">
        <v>9.3112593062490276</v>
      </c>
      <c r="BK116">
        <v>8.470295451928763</v>
      </c>
      <c r="BL116">
        <v>5.2977280259237034</v>
      </c>
      <c r="BM116">
        <v>6.6171946683096792</v>
      </c>
      <c r="BN116">
        <v>15.125219794957175</v>
      </c>
      <c r="BO116">
        <v>9.4330221102335514</v>
      </c>
    </row>
    <row r="117" spans="1:67">
      <c r="A117" t="s">
        <v>1004</v>
      </c>
      <c r="B117" t="s">
        <v>1005</v>
      </c>
      <c r="C117" t="s">
        <v>784</v>
      </c>
      <c r="D117" t="s">
        <v>785</v>
      </c>
      <c r="F117">
        <v>10.390918354993602</v>
      </c>
      <c r="G117">
        <v>7.9092679296534811</v>
      </c>
      <c r="H117">
        <v>7.042075229128983</v>
      </c>
      <c r="I117">
        <v>8.4752282487852</v>
      </c>
      <c r="J117">
        <v>17.035711520300794</v>
      </c>
      <c r="K117">
        <v>11.502407284828294</v>
      </c>
      <c r="L117">
        <v>11.252803096167526</v>
      </c>
      <c r="M117">
        <v>14.404182675473052</v>
      </c>
      <c r="N117">
        <v>15.516658908088957</v>
      </c>
      <c r="O117">
        <v>10.927601629655086</v>
      </c>
      <c r="P117">
        <v>13.701582993922059</v>
      </c>
      <c r="Q117">
        <v>14.499015848636731</v>
      </c>
      <c r="R117">
        <v>7.4416816121086526</v>
      </c>
      <c r="S117">
        <v>5.801050847820747</v>
      </c>
      <c r="T117">
        <v>-0.32621624077341949</v>
      </c>
      <c r="U117">
        <v>18.260435628160778</v>
      </c>
      <c r="V117">
        <v>-2.7735776916349835</v>
      </c>
      <c r="W117">
        <v>-12.84085667422876</v>
      </c>
      <c r="X117">
        <v>-12.020760254791952</v>
      </c>
      <c r="Y117">
        <v>-21.599649351692292</v>
      </c>
      <c r="Z117">
        <v>-5.6967872333387675</v>
      </c>
      <c r="AA117">
        <v>23.171245535579232</v>
      </c>
      <c r="AB117">
        <v>11.086716846873543</v>
      </c>
      <c r="AC117">
        <v>-7.1398504989002163</v>
      </c>
      <c r="AD117">
        <v>1.8676499325072484</v>
      </c>
      <c r="AE117">
        <v>-9.7849055780178986</v>
      </c>
      <c r="AF117">
        <v>-0.17210768760570261</v>
      </c>
      <c r="AG117">
        <v>-6.0819966198655919</v>
      </c>
      <c r="AH117">
        <v>6.1321156771801526</v>
      </c>
      <c r="AI117">
        <v>13.594926443583859</v>
      </c>
      <c r="AJ117">
        <v>12.716148443070267</v>
      </c>
      <c r="AK117">
        <v>3.2979819190609447</v>
      </c>
      <c r="AL117">
        <v>-1.4710114826416145</v>
      </c>
      <c r="AM117">
        <v>-1.6982861190413558</v>
      </c>
      <c r="AN117">
        <v>2.4010445522492034</v>
      </c>
      <c r="AO117">
        <v>6.3505260195930902</v>
      </c>
      <c r="AP117">
        <v>1.350399273715567</v>
      </c>
      <c r="AQ117">
        <v>2.0800117803029252</v>
      </c>
      <c r="AR117">
        <v>2.0026962330806697</v>
      </c>
      <c r="AS117">
        <v>5.8455274758739648</v>
      </c>
      <c r="AT117">
        <v>2.3921727118029708</v>
      </c>
      <c r="AU117">
        <v>8.0788292792377376</v>
      </c>
      <c r="AV117">
        <v>8.6392983956527019</v>
      </c>
      <c r="AW117">
        <v>4.3366659832241794</v>
      </c>
      <c r="AX117">
        <v>3.1898040813102284</v>
      </c>
      <c r="AY117">
        <v>4.9997952693596943</v>
      </c>
      <c r="AZ117">
        <v>8.1557735184346427</v>
      </c>
      <c r="BA117">
        <v>0.25085655251105266</v>
      </c>
      <c r="BB117">
        <v>1.0073854628562202</v>
      </c>
      <c r="BC117">
        <v>5.7979382959026111</v>
      </c>
      <c r="BD117">
        <v>2.6457179200895808</v>
      </c>
      <c r="BE117">
        <v>-3.7471713986413988</v>
      </c>
      <c r="BF117">
        <v>-1.5219792049416299</v>
      </c>
      <c r="BG117">
        <v>4.9847750670949438</v>
      </c>
      <c r="BH117">
        <v>-1.4248849393749055</v>
      </c>
      <c r="BI117">
        <v>8.815086642518196</v>
      </c>
      <c r="BJ117">
        <v>2.7585052457887542</v>
      </c>
      <c r="BK117">
        <v>-1.8380075709303583</v>
      </c>
      <c r="BL117">
        <v>-3.0705879849703024</v>
      </c>
      <c r="BM117">
        <v>3.3302884592659439</v>
      </c>
      <c r="BN117">
        <v>4.7197777315716394</v>
      </c>
      <c r="BO117">
        <v>3.776631401529059</v>
      </c>
    </row>
    <row r="118" spans="1:67">
      <c r="A118" t="s">
        <v>1006</v>
      </c>
      <c r="B118" t="s">
        <v>1007</v>
      </c>
      <c r="C118" t="s">
        <v>784</v>
      </c>
      <c r="D118" t="s">
        <v>785</v>
      </c>
      <c r="N118">
        <v>3.2441864602003676</v>
      </c>
      <c r="O118">
        <v>4.5443570668177671</v>
      </c>
      <c r="P118">
        <v>5.3745525341309985</v>
      </c>
      <c r="Q118">
        <v>3.7353037823015143</v>
      </c>
      <c r="R118">
        <v>4.4187555690364206</v>
      </c>
      <c r="S118">
        <v>16.113367341804221</v>
      </c>
      <c r="T118">
        <v>12.490664677955792</v>
      </c>
      <c r="U118">
        <v>17.175103734312415</v>
      </c>
      <c r="V118">
        <v>1.8999593927066201</v>
      </c>
      <c r="W118">
        <v>17.056964666471814</v>
      </c>
      <c r="X118">
        <v>20.869255433367172</v>
      </c>
      <c r="Y118">
        <v>24.753726845430137</v>
      </c>
      <c r="Z118">
        <v>-0.72872750798700281</v>
      </c>
      <c r="AA118">
        <v>3.4339780300701932</v>
      </c>
      <c r="AB118">
        <v>-13.073312403423031</v>
      </c>
      <c r="AC118">
        <v>-1.4852416969366686</v>
      </c>
      <c r="AD118">
        <v>1.4538962618038624</v>
      </c>
      <c r="AE118">
        <v>4.6475905735702696</v>
      </c>
      <c r="AF118">
        <v>9.3052813929186016</v>
      </c>
      <c r="AG118">
        <v>-1.9036937497745043E-2</v>
      </c>
      <c r="AH118">
        <v>-3.1185352138824527</v>
      </c>
      <c r="AI118">
        <v>57.817828343857144</v>
      </c>
      <c r="AJ118">
        <v>-64.047106973598176</v>
      </c>
      <c r="AK118">
        <v>32.592211198072448</v>
      </c>
      <c r="AL118">
        <v>30.289829489034076</v>
      </c>
      <c r="AM118">
        <v>3.8545324498010274</v>
      </c>
      <c r="AN118">
        <v>2.1200214982283683</v>
      </c>
      <c r="AO118">
        <v>11.020785644619437</v>
      </c>
      <c r="AP118">
        <v>21.23793612684544</v>
      </c>
      <c r="AQ118">
        <v>34.857095135052617</v>
      </c>
      <c r="AR118">
        <v>17.582266010198538</v>
      </c>
      <c r="AS118">
        <v>16.921665690383051</v>
      </c>
      <c r="AT118">
        <v>1.7614800808034516</v>
      </c>
      <c r="AU118">
        <v>-8.1984698238295834</v>
      </c>
      <c r="AV118">
        <v>-36.6581526754007</v>
      </c>
      <c r="AW118">
        <v>53.381794185947626</v>
      </c>
      <c r="AX118">
        <v>1.6718896240449794</v>
      </c>
      <c r="AY118">
        <v>5.6462977954493141</v>
      </c>
      <c r="AZ118">
        <v>1.8855721426448468</v>
      </c>
      <c r="BA118">
        <v>8.2281071038327696</v>
      </c>
      <c r="BB118">
        <v>3.3792990944277079</v>
      </c>
      <c r="BC118">
        <v>6.4025648447119323</v>
      </c>
      <c r="BD118">
        <v>7.5464712004259979</v>
      </c>
      <c r="BE118">
        <v>13.936430173753706</v>
      </c>
      <c r="BF118">
        <v>7.6285711847115891</v>
      </c>
      <c r="BG118">
        <v>0.19701671035903701</v>
      </c>
      <c r="BH118">
        <v>4.7228640188413067</v>
      </c>
      <c r="BI118">
        <v>13.787373018708934</v>
      </c>
      <c r="BJ118">
        <v>-1.8197503511830888</v>
      </c>
      <c r="BK118">
        <v>2.6338509910562351</v>
      </c>
      <c r="BL118">
        <v>5.5137905741882633</v>
      </c>
      <c r="BM118">
        <v>-12.036793092085631</v>
      </c>
      <c r="BN118">
        <v>1.5833933630431005</v>
      </c>
      <c r="BO118">
        <v>7.0087452229425651</v>
      </c>
    </row>
    <row r="119" spans="1:67">
      <c r="A119" t="s">
        <v>1008</v>
      </c>
      <c r="B119" t="s">
        <v>1009</v>
      </c>
      <c r="C119" t="s">
        <v>784</v>
      </c>
      <c r="D119" t="s">
        <v>785</v>
      </c>
      <c r="F119">
        <v>-8.466194629227175E-2</v>
      </c>
      <c r="G119">
        <v>8.3137127442352892</v>
      </c>
      <c r="H119">
        <v>10.283382872050552</v>
      </c>
      <c r="I119">
        <v>9.9165440144300021</v>
      </c>
      <c r="J119">
        <v>7.3717292987071517</v>
      </c>
      <c r="K119">
        <v>8.7359334760698886</v>
      </c>
      <c r="L119">
        <v>-1.2672618627383798</v>
      </c>
      <c r="M119">
        <v>-5.4749063460469074</v>
      </c>
      <c r="N119">
        <v>2.3745880271906827</v>
      </c>
      <c r="AO119">
        <v>4.5671235867896343</v>
      </c>
      <c r="AP119">
        <v>5.7716124249294012</v>
      </c>
      <c r="AQ119">
        <v>7.362800953386909</v>
      </c>
      <c r="AR119">
        <v>4.0349235267536727</v>
      </c>
      <c r="AS119">
        <v>4.98504277020335</v>
      </c>
      <c r="AT119">
        <v>4.0134975547356788</v>
      </c>
      <c r="AU119">
        <v>0.55951908200762546</v>
      </c>
      <c r="AV119">
        <v>2.1426883786691064</v>
      </c>
      <c r="AW119">
        <v>7.8023995075354264</v>
      </c>
      <c r="AX119">
        <v>6.1244389653361253</v>
      </c>
      <c r="AY119">
        <v>6.3169930863707435</v>
      </c>
      <c r="AZ119">
        <v>8.454860096129508</v>
      </c>
      <c r="BA119">
        <v>2.2094964188209758</v>
      </c>
      <c r="BB119">
        <v>-7.663809560259466</v>
      </c>
      <c r="BC119">
        <v>-2.8327749154085495</v>
      </c>
      <c r="BD119">
        <v>1.8457791562421733</v>
      </c>
      <c r="BE119">
        <v>1.0636366074376298</v>
      </c>
      <c r="BF119">
        <v>4.5524603201510701</v>
      </c>
      <c r="BG119">
        <v>1.6872150175064178</v>
      </c>
      <c r="BH119">
        <v>4.4366637193717224</v>
      </c>
      <c r="BI119">
        <v>6.303687106501755</v>
      </c>
      <c r="BJ119">
        <v>4.1949488290837564</v>
      </c>
      <c r="BK119">
        <v>4.8891729948654472</v>
      </c>
      <c r="BL119">
        <v>1.8611779429387383</v>
      </c>
      <c r="BM119">
        <v>-7.2156705720011018</v>
      </c>
      <c r="BN119">
        <v>4.5077350194063399</v>
      </c>
      <c r="BO119">
        <v>7.2380893397641586</v>
      </c>
    </row>
    <row r="120" spans="1:67">
      <c r="A120" t="s">
        <v>1010</v>
      </c>
      <c r="B120" t="s">
        <v>1011</v>
      </c>
      <c r="C120" t="s">
        <v>784</v>
      </c>
      <c r="D120" t="s">
        <v>785</v>
      </c>
      <c r="F120">
        <v>11.203885617468458</v>
      </c>
      <c r="G120">
        <v>10.15611715765661</v>
      </c>
      <c r="H120">
        <v>10.695712975142598</v>
      </c>
      <c r="I120">
        <v>7.9371919750301316</v>
      </c>
      <c r="J120">
        <v>9.0939655991649744</v>
      </c>
      <c r="K120">
        <v>-7.9644772423222321E-2</v>
      </c>
      <c r="L120">
        <v>2.995020165771777</v>
      </c>
      <c r="M120">
        <v>16.241956813262462</v>
      </c>
      <c r="N120">
        <v>13.565703506412575</v>
      </c>
      <c r="AO120">
        <v>5.9282911324299192</v>
      </c>
      <c r="AP120">
        <v>3.7904523502451326</v>
      </c>
      <c r="AQ120">
        <v>4.115555068596862</v>
      </c>
      <c r="AR120">
        <v>3.3304925287701508</v>
      </c>
      <c r="AS120">
        <v>8.6716552769917428</v>
      </c>
      <c r="AT120">
        <v>0.3340706434410663</v>
      </c>
      <c r="AU120">
        <v>-0.11422092790782301</v>
      </c>
      <c r="AV120">
        <v>1.3939129640517365</v>
      </c>
      <c r="AW120">
        <v>4.7844674262581037</v>
      </c>
      <c r="AX120">
        <v>4.134076618675536</v>
      </c>
      <c r="AY120">
        <v>5.5826679593243824</v>
      </c>
      <c r="AZ120">
        <v>6.0332135706836993</v>
      </c>
      <c r="BA120">
        <v>3.2511633607907271</v>
      </c>
      <c r="BB120">
        <v>0.88312039356537753</v>
      </c>
      <c r="BC120">
        <v>5.668515117907333</v>
      </c>
      <c r="BD120">
        <v>5.5611390758901251</v>
      </c>
      <c r="BE120">
        <v>2.5876538438434551</v>
      </c>
      <c r="BF120">
        <v>4.4155015873792394</v>
      </c>
      <c r="BG120">
        <v>3.9191268928095155</v>
      </c>
      <c r="BH120">
        <v>2.485826288981059</v>
      </c>
      <c r="BI120">
        <v>4.5216803088065802</v>
      </c>
      <c r="BJ120">
        <v>4.2765959511559259</v>
      </c>
      <c r="BK120">
        <v>4.0703218874397038</v>
      </c>
      <c r="BL120">
        <v>4.1561379889773349</v>
      </c>
      <c r="BM120">
        <v>-1.8572892781124182</v>
      </c>
      <c r="BN120">
        <v>8.6119903484698881</v>
      </c>
      <c r="BO120">
        <v>6.832886635720925</v>
      </c>
    </row>
    <row r="121" spans="1:67">
      <c r="A121" t="s">
        <v>1012</v>
      </c>
      <c r="B121" t="s">
        <v>1013</v>
      </c>
      <c r="C121" t="s">
        <v>784</v>
      </c>
      <c r="D121" t="s">
        <v>785</v>
      </c>
      <c r="F121">
        <v>8.2072459138477143</v>
      </c>
      <c r="G121">
        <v>6.2036504578714613</v>
      </c>
      <c r="H121">
        <v>5.6097279781981371</v>
      </c>
      <c r="I121">
        <v>2.7977022791150716</v>
      </c>
      <c r="J121">
        <v>3.2680237196416329</v>
      </c>
      <c r="K121">
        <v>5.984794225197291</v>
      </c>
      <c r="L121">
        <v>7.178612465561713</v>
      </c>
      <c r="M121">
        <v>6.5445546547054647</v>
      </c>
      <c r="N121">
        <v>6.0980599955860129</v>
      </c>
      <c r="O121">
        <v>5.2686929792099306</v>
      </c>
      <c r="P121">
        <v>1.818107933668017</v>
      </c>
      <c r="Q121">
        <v>3.6904858247869896</v>
      </c>
      <c r="R121">
        <v>7.1258623043649152</v>
      </c>
      <c r="S121">
        <v>5.5001411013222707</v>
      </c>
      <c r="T121">
        <v>-2.0901629153585191</v>
      </c>
      <c r="U121">
        <v>7.1253851371209294</v>
      </c>
      <c r="V121">
        <v>2.5605008447669775</v>
      </c>
      <c r="W121">
        <v>3.2401397518489148</v>
      </c>
      <c r="X121">
        <v>5.9591594262573722</v>
      </c>
      <c r="Y121">
        <v>3.430016414422596</v>
      </c>
      <c r="Z121">
        <v>0.84422760724814339</v>
      </c>
      <c r="AA121">
        <v>0.41358569462796879</v>
      </c>
      <c r="AB121">
        <v>1.1692034945393885</v>
      </c>
      <c r="AC121">
        <v>3.2258523152798517</v>
      </c>
      <c r="AD121">
        <v>2.7980857672086756</v>
      </c>
      <c r="AE121">
        <v>2.8599718638460843</v>
      </c>
      <c r="AF121">
        <v>3.1919606284801461</v>
      </c>
      <c r="AG121">
        <v>4.194377307530047</v>
      </c>
      <c r="AH121">
        <v>3.3883834540892224</v>
      </c>
      <c r="AI121">
        <v>1.9857749428717142</v>
      </c>
      <c r="AJ121">
        <v>1.538447557766176</v>
      </c>
      <c r="AK121">
        <v>0.83427545355489485</v>
      </c>
      <c r="AL121">
        <v>-0.85280576383186713</v>
      </c>
      <c r="AM121">
        <v>2.1510236380256629</v>
      </c>
      <c r="AN121">
        <v>2.8868367592455257</v>
      </c>
      <c r="AO121">
        <v>1.2667848019171544</v>
      </c>
      <c r="AP121">
        <v>1.8302122338843816</v>
      </c>
      <c r="AQ121">
        <v>1.8106151619762301</v>
      </c>
      <c r="AR121">
        <v>1.6257275993546045</v>
      </c>
      <c r="AS121">
        <v>3.7869551432397941</v>
      </c>
      <c r="AT121">
        <v>1.9513715560523792</v>
      </c>
      <c r="AU121">
        <v>0.25394299896845496</v>
      </c>
      <c r="AV121">
        <v>0.13862689077650714</v>
      </c>
      <c r="AW121">
        <v>1.4235941581790712</v>
      </c>
      <c r="AX121">
        <v>0.81784897365059805</v>
      </c>
      <c r="AY121">
        <v>1.7906396808179608</v>
      </c>
      <c r="AZ121">
        <v>1.4870729803678557</v>
      </c>
      <c r="BA121">
        <v>-0.96201284057929115</v>
      </c>
      <c r="BB121">
        <v>-5.2809372082930963</v>
      </c>
      <c r="BC121">
        <v>1.7132958391692199</v>
      </c>
      <c r="BD121">
        <v>0.70733334703443518</v>
      </c>
      <c r="BE121">
        <v>-2.9809057682377187</v>
      </c>
      <c r="BF121">
        <v>-1.841065450882482</v>
      </c>
      <c r="BG121">
        <v>-4.5475423638379198E-3</v>
      </c>
      <c r="BH121">
        <v>0.77830435071658144</v>
      </c>
      <c r="BI121">
        <v>1.2934627315590745</v>
      </c>
      <c r="BJ121">
        <v>1.6678590410685672</v>
      </c>
      <c r="BK121">
        <v>0.92581094101274175</v>
      </c>
      <c r="BL121">
        <v>0.48319831659715362</v>
      </c>
      <c r="BM121">
        <v>-8.9741921206069861</v>
      </c>
      <c r="BN121">
        <v>8.3137603180112478</v>
      </c>
      <c r="BO121">
        <v>3.724549463477004</v>
      </c>
    </row>
    <row r="122" spans="1:67">
      <c r="A122" t="s">
        <v>1014</v>
      </c>
      <c r="B122" t="s">
        <v>1015</v>
      </c>
      <c r="C122" t="s">
        <v>784</v>
      </c>
      <c r="D122" t="s">
        <v>785</v>
      </c>
      <c r="L122">
        <v>1.8086385189193237</v>
      </c>
      <c r="M122">
        <v>5.7441322156209509</v>
      </c>
      <c r="N122">
        <v>5.5746738707045864</v>
      </c>
      <c r="O122">
        <v>12.06440903901786</v>
      </c>
      <c r="P122">
        <v>2.4580734517392102</v>
      </c>
      <c r="Q122">
        <v>18.008555291937384</v>
      </c>
      <c r="R122">
        <v>-5.4855090911617594</v>
      </c>
      <c r="S122">
        <v>-4.2292613098654357</v>
      </c>
      <c r="T122">
        <v>-0.25609225691439974</v>
      </c>
      <c r="U122">
        <v>-6.694245095128224</v>
      </c>
      <c r="V122">
        <v>-2.5975486976381035</v>
      </c>
      <c r="W122">
        <v>-5.3700314800963156E-2</v>
      </c>
      <c r="X122">
        <v>-1.0600413173036571</v>
      </c>
      <c r="Y122">
        <v>-5.7141592459271493</v>
      </c>
      <c r="Z122">
        <v>2.6394479940871776</v>
      </c>
      <c r="AA122">
        <v>2.0692316240256758</v>
      </c>
      <c r="AB122">
        <v>1.9090784023816383</v>
      </c>
      <c r="AC122">
        <v>-1.5423457996957524</v>
      </c>
      <c r="AD122">
        <v>-2.9436355749660805</v>
      </c>
      <c r="AE122">
        <v>1.8825881854486681</v>
      </c>
      <c r="AF122">
        <v>7.8503548269060133</v>
      </c>
      <c r="AG122">
        <v>3.9743020154030262</v>
      </c>
      <c r="AH122">
        <v>7.1733043456580106</v>
      </c>
      <c r="AI122">
        <v>4.2005351147029018</v>
      </c>
      <c r="AJ122">
        <v>4.8382387532441413</v>
      </c>
      <c r="AK122">
        <v>1.95554250245047</v>
      </c>
      <c r="AL122">
        <v>9.4171025670875395</v>
      </c>
      <c r="AM122">
        <v>1.3833898027364882</v>
      </c>
      <c r="AN122">
        <v>2.3499570414782909</v>
      </c>
      <c r="AO122">
        <v>-0.11373120611553134</v>
      </c>
      <c r="AP122">
        <v>-1.1404598723546258</v>
      </c>
      <c r="AQ122">
        <v>-2.3345535433781635</v>
      </c>
      <c r="AR122">
        <v>1.0476738707379241</v>
      </c>
      <c r="AS122">
        <v>0.87870354796235972</v>
      </c>
      <c r="AT122">
        <v>1.3449295639669714</v>
      </c>
      <c r="AU122">
        <v>1.9972909440715512</v>
      </c>
      <c r="AV122">
        <v>3.6663175927902074</v>
      </c>
      <c r="AW122">
        <v>1.3237250997782724</v>
      </c>
      <c r="AX122">
        <v>0.89379793594500256</v>
      </c>
      <c r="AY122">
        <v>2.899125349588715</v>
      </c>
      <c r="AZ122">
        <v>1.4319540366511774</v>
      </c>
      <c r="BA122">
        <v>-0.81173670328081471</v>
      </c>
      <c r="BB122">
        <v>-4.3453018579463958</v>
      </c>
      <c r="BC122">
        <v>-1.4571472094750249</v>
      </c>
      <c r="BD122">
        <v>1.7303762674692109</v>
      </c>
      <c r="BE122">
        <v>-0.61363603986912096</v>
      </c>
      <c r="BF122">
        <v>0.51768601280240034</v>
      </c>
      <c r="BG122">
        <v>0.68982235737433939</v>
      </c>
      <c r="BH122">
        <v>0.92148712538030964</v>
      </c>
      <c r="BI122">
        <v>1.3752230644553833</v>
      </c>
      <c r="BJ122">
        <v>0.99712306233519143</v>
      </c>
      <c r="BK122">
        <v>1.8899236812108597</v>
      </c>
      <c r="BL122">
        <v>0.89229165382222675</v>
      </c>
      <c r="BM122">
        <v>-9.9203224488907864</v>
      </c>
      <c r="BN122">
        <v>4.6014245042591995</v>
      </c>
      <c r="BO122">
        <v>5.2215198473738695</v>
      </c>
    </row>
    <row r="123" spans="1:67">
      <c r="A123" t="s">
        <v>1016</v>
      </c>
      <c r="B123" t="s">
        <v>1017</v>
      </c>
      <c r="C123" t="s">
        <v>784</v>
      </c>
      <c r="D123" t="s">
        <v>785</v>
      </c>
      <c r="V123">
        <v>8.2984088648956771</v>
      </c>
      <c r="W123">
        <v>14.679566013500491</v>
      </c>
      <c r="X123">
        <v>20.802909271157063</v>
      </c>
      <c r="Y123">
        <v>11.184846464319747</v>
      </c>
      <c r="Z123">
        <v>17.178717424629511</v>
      </c>
      <c r="AA123">
        <v>7.0259433890842473</v>
      </c>
      <c r="AB123">
        <v>-2.2197385546941888</v>
      </c>
      <c r="AC123">
        <v>4.29168776676552</v>
      </c>
      <c r="AD123">
        <v>-2.7069471651415</v>
      </c>
      <c r="AE123">
        <v>5.5046342506772703</v>
      </c>
      <c r="AF123">
        <v>2.3232743707292371</v>
      </c>
      <c r="AG123">
        <v>1.4621698230338041</v>
      </c>
      <c r="AH123">
        <v>-10.729219281299294</v>
      </c>
      <c r="AI123">
        <v>-0.2759039061109263</v>
      </c>
      <c r="AJ123">
        <v>1.6085310670367363</v>
      </c>
      <c r="AK123">
        <v>14.349776059688551</v>
      </c>
      <c r="AL123">
        <v>4.4869897798575522</v>
      </c>
      <c r="AM123">
        <v>4.9714766996475674</v>
      </c>
      <c r="AN123">
        <v>6.2008744437381864</v>
      </c>
      <c r="AO123">
        <v>2.0870207816802804</v>
      </c>
      <c r="AP123">
        <v>3.3084753830473659</v>
      </c>
      <c r="AQ123">
        <v>3.012172690465647</v>
      </c>
      <c r="AR123">
        <v>3.3895307940508843</v>
      </c>
      <c r="AS123">
        <v>4.2457119207917913</v>
      </c>
      <c r="AT123">
        <v>5.269957575135706</v>
      </c>
      <c r="AU123">
        <v>5.7838079267929601</v>
      </c>
      <c r="AV123">
        <v>4.161667555444069</v>
      </c>
      <c r="AW123">
        <v>8.5672142423689905</v>
      </c>
      <c r="AX123">
        <v>8.1465948107993142</v>
      </c>
      <c r="AY123">
        <v>8.0929752781193258</v>
      </c>
      <c r="AZ123">
        <v>8.1761699520464646</v>
      </c>
      <c r="BA123">
        <v>7.2203863728013857</v>
      </c>
      <c r="BB123">
        <v>5.0237100727266863</v>
      </c>
      <c r="BC123">
        <v>2.3148342206304591</v>
      </c>
      <c r="BD123">
        <v>2.7371798863210444</v>
      </c>
      <c r="BE123">
        <v>2.4293580010023845</v>
      </c>
      <c r="BF123">
        <v>2.6099473754863141</v>
      </c>
      <c r="BG123">
        <v>3.3840780993347153</v>
      </c>
      <c r="BH123">
        <v>2.4965287931518816</v>
      </c>
      <c r="BI123">
        <v>1.9941808493012019</v>
      </c>
      <c r="BJ123">
        <v>2.4735981544904462</v>
      </c>
      <c r="BK123">
        <v>1.9190726361085098</v>
      </c>
      <c r="BL123">
        <v>1.7512390588061635</v>
      </c>
      <c r="BM123">
        <v>-1.1027518830904626</v>
      </c>
      <c r="BN123">
        <v>3.6556419103039843</v>
      </c>
      <c r="BO123">
        <v>2.4280733446574629</v>
      </c>
    </row>
    <row r="124" spans="1:67">
      <c r="A124" t="s">
        <v>694</v>
      </c>
      <c r="B124" t="s">
        <v>1018</v>
      </c>
      <c r="C124" t="s">
        <v>784</v>
      </c>
      <c r="D124" t="s">
        <v>785</v>
      </c>
      <c r="F124">
        <v>12.043536408011619</v>
      </c>
      <c r="G124">
        <v>8.9089729955806689</v>
      </c>
      <c r="H124">
        <v>8.473642382793912</v>
      </c>
      <c r="I124">
        <v>11.67670819639774</v>
      </c>
      <c r="J124">
        <v>5.8197078729826472</v>
      </c>
      <c r="K124">
        <v>10.638561559162852</v>
      </c>
      <c r="L124">
        <v>11.08214232469291</v>
      </c>
      <c r="M124">
        <v>12.882468138323389</v>
      </c>
      <c r="N124">
        <v>12.477894514497635</v>
      </c>
      <c r="O124">
        <v>2.4549583839827278</v>
      </c>
      <c r="P124">
        <v>4.6989920423418994</v>
      </c>
      <c r="Q124">
        <v>8.4135472551759989</v>
      </c>
      <c r="R124">
        <v>8.0325999749503865</v>
      </c>
      <c r="S124">
        <v>-1.2252398277843213</v>
      </c>
      <c r="T124">
        <v>3.0915759162202221</v>
      </c>
      <c r="U124">
        <v>3.9749840912121073</v>
      </c>
      <c r="V124">
        <v>4.3903379503256161</v>
      </c>
      <c r="W124">
        <v>5.271941502907751</v>
      </c>
      <c r="X124">
        <v>5.4840418324866107</v>
      </c>
      <c r="Y124">
        <v>2.8175912076160046</v>
      </c>
      <c r="Z124">
        <v>4.2606244934686259</v>
      </c>
      <c r="AA124">
        <v>3.2797427428672847</v>
      </c>
      <c r="AB124">
        <v>3.6301985722467123</v>
      </c>
      <c r="AC124">
        <v>4.4108801536153521</v>
      </c>
      <c r="AD124">
        <v>5.1598079047127356</v>
      </c>
      <c r="AE124">
        <v>3.2940476133705943</v>
      </c>
      <c r="AF124">
        <v>4.6488613975449056</v>
      </c>
      <c r="AG124">
        <v>6.6616365220159395</v>
      </c>
      <c r="AH124">
        <v>4.925785413063835</v>
      </c>
      <c r="AI124">
        <v>4.8409290574523425</v>
      </c>
      <c r="AJ124">
        <v>3.5233572353322842</v>
      </c>
      <c r="AK124">
        <v>0.90058606636046079</v>
      </c>
      <c r="AL124">
        <v>-0.45921971615079826</v>
      </c>
      <c r="AM124">
        <v>1.0833831742994562</v>
      </c>
      <c r="AN124">
        <v>2.6309996164489746</v>
      </c>
      <c r="AO124">
        <v>3.1338709928044466</v>
      </c>
      <c r="AP124">
        <v>0.98122873213222306</v>
      </c>
      <c r="AQ124">
        <v>-1.2703304946397509</v>
      </c>
      <c r="AR124">
        <v>-0.33392995774741507</v>
      </c>
      <c r="AS124">
        <v>2.7646475514364823</v>
      </c>
      <c r="AT124">
        <v>0.38610342614575188</v>
      </c>
      <c r="AU124">
        <v>4.1962499312560908E-2</v>
      </c>
      <c r="AV124">
        <v>1.5351254992801273</v>
      </c>
      <c r="AW124">
        <v>2.186115694421602</v>
      </c>
      <c r="AX124">
        <v>1.8039008722737151</v>
      </c>
      <c r="AY124">
        <v>1.3723501276203791</v>
      </c>
      <c r="AZ124">
        <v>1.4839694116349165</v>
      </c>
      <c r="BA124">
        <v>-1.2242890007282767</v>
      </c>
      <c r="BB124">
        <v>-5.6932363588226593</v>
      </c>
      <c r="BC124">
        <v>4.0979179193013664</v>
      </c>
      <c r="BD124">
        <v>2.38095237748297E-2</v>
      </c>
      <c r="BE124">
        <v>1.374750999208743</v>
      </c>
      <c r="BF124">
        <v>2.0051001767726007</v>
      </c>
      <c r="BG124">
        <v>0.29620551414262764</v>
      </c>
      <c r="BH124">
        <v>1.5606266967490399</v>
      </c>
      <c r="BI124">
        <v>0.75382674590353815</v>
      </c>
      <c r="BJ124">
        <v>1.675331751665027</v>
      </c>
      <c r="BK124">
        <v>0.64339102346033883</v>
      </c>
      <c r="BL124">
        <v>-0.402169200910933</v>
      </c>
      <c r="BM124">
        <v>-4.1471188994769221</v>
      </c>
      <c r="BN124">
        <v>2.55932023865617</v>
      </c>
      <c r="BO124">
        <v>0.95473693778139079</v>
      </c>
    </row>
    <row r="125" spans="1:67">
      <c r="A125" t="s">
        <v>1019</v>
      </c>
      <c r="B125" t="s">
        <v>1020</v>
      </c>
      <c r="C125" t="s">
        <v>784</v>
      </c>
      <c r="D125" t="s">
        <v>785</v>
      </c>
      <c r="AJ125">
        <v>-11.00000000169257</v>
      </c>
      <c r="AK125">
        <v>-5.2999999989346804</v>
      </c>
      <c r="AL125">
        <v>-9.2000000020330788</v>
      </c>
      <c r="AM125">
        <v>-12.599999998316775</v>
      </c>
      <c r="AN125">
        <v>-8.2000000011824028</v>
      </c>
      <c r="AO125">
        <v>0.50000000207350581</v>
      </c>
      <c r="AP125">
        <v>1.6999999994951338</v>
      </c>
      <c r="AQ125">
        <v>-1.8999999994247929</v>
      </c>
      <c r="AR125">
        <v>2.6999999978419851</v>
      </c>
      <c r="AS125">
        <v>9.8000000021415588</v>
      </c>
      <c r="AT125">
        <v>13.499999998435783</v>
      </c>
      <c r="AU125">
        <v>9.7999999996084171</v>
      </c>
      <c r="AV125">
        <v>9.3000000003375902</v>
      </c>
      <c r="AW125">
        <v>9.6000000013685423</v>
      </c>
      <c r="AX125">
        <v>9.6999999992268187</v>
      </c>
      <c r="AY125">
        <v>10.7</v>
      </c>
      <c r="AZ125">
        <v>8.8999999999940513</v>
      </c>
      <c r="BA125">
        <v>3.3000000002109147</v>
      </c>
      <c r="BB125">
        <v>1.1999999994287265</v>
      </c>
      <c r="BC125">
        <v>7.3000000032981376</v>
      </c>
      <c r="BD125">
        <v>7.4000000014418816</v>
      </c>
      <c r="BE125">
        <v>4.7999999952829739</v>
      </c>
      <c r="BF125">
        <v>5.9999999967108408</v>
      </c>
      <c r="BG125">
        <v>4.2000000056670501</v>
      </c>
      <c r="BH125">
        <v>1.2000000005328815</v>
      </c>
      <c r="BI125">
        <v>1.0999999991017262</v>
      </c>
      <c r="BJ125">
        <v>4.1000000025735801</v>
      </c>
      <c r="BK125">
        <v>4.0999999930984075</v>
      </c>
      <c r="BL125">
        <v>4.5000000009188312</v>
      </c>
      <c r="BM125">
        <v>-2.4999999962799961</v>
      </c>
      <c r="BN125">
        <v>4.2999999972945631</v>
      </c>
      <c r="BO125">
        <v>3.2</v>
      </c>
    </row>
    <row r="126" spans="1:67">
      <c r="A126" t="s">
        <v>1021</v>
      </c>
      <c r="B126" t="s">
        <v>1022</v>
      </c>
      <c r="C126" t="s">
        <v>784</v>
      </c>
      <c r="D126" t="s">
        <v>785</v>
      </c>
      <c r="F126">
        <v>-7.7746349037165459</v>
      </c>
      <c r="G126">
        <v>9.4573587407212614</v>
      </c>
      <c r="H126">
        <v>8.7783402162118449</v>
      </c>
      <c r="I126">
        <v>4.9644672884409147</v>
      </c>
      <c r="J126">
        <v>2.0090941710309949</v>
      </c>
      <c r="K126">
        <v>14.728566401568727</v>
      </c>
      <c r="L126">
        <v>3.361232032585562</v>
      </c>
      <c r="M126">
        <v>7.9826899693479021</v>
      </c>
      <c r="N126">
        <v>7.9592244594956014</v>
      </c>
      <c r="O126">
        <v>-4.6554469164762082</v>
      </c>
      <c r="P126">
        <v>22.173891925576442</v>
      </c>
      <c r="Q126">
        <v>17.082429349983002</v>
      </c>
      <c r="R126">
        <v>5.896580210166718</v>
      </c>
      <c r="S126">
        <v>4.0656173489373515</v>
      </c>
      <c r="T126">
        <v>0.88220317531914816</v>
      </c>
      <c r="U126">
        <v>2.153964503225609</v>
      </c>
      <c r="V126">
        <v>9.4537978440808672</v>
      </c>
      <c r="W126">
        <v>6.9124935462619703</v>
      </c>
      <c r="X126">
        <v>7.615226045919826</v>
      </c>
      <c r="Y126">
        <v>5.591976205967697</v>
      </c>
      <c r="Z126">
        <v>3.7735441940282186</v>
      </c>
      <c r="AA126">
        <v>1.5064782575770579</v>
      </c>
      <c r="AB126">
        <v>1.3090502411485971</v>
      </c>
      <c r="AC126">
        <v>1.7552169770347348</v>
      </c>
      <c r="AD126">
        <v>4.3005618187961261</v>
      </c>
      <c r="AE126">
        <v>7.1775553906596343</v>
      </c>
      <c r="AF126">
        <v>5.937107444208948</v>
      </c>
      <c r="AG126">
        <v>6.2031838231459062</v>
      </c>
      <c r="AH126">
        <v>4.6903487679204687</v>
      </c>
      <c r="AI126">
        <v>4.1920509715516658</v>
      </c>
      <c r="AJ126">
        <v>1.4383467917155883</v>
      </c>
      <c r="AK126">
        <v>-0.79949395864134942</v>
      </c>
      <c r="AL126">
        <v>0.35319725622724718</v>
      </c>
      <c r="AM126">
        <v>2.6327845178369955</v>
      </c>
      <c r="AN126">
        <v>4.4062165248228666</v>
      </c>
      <c r="AO126">
        <v>4.1468392687601323</v>
      </c>
      <c r="AP126">
        <v>0.47490192129357922</v>
      </c>
      <c r="AQ126">
        <v>3.2902137224906483</v>
      </c>
      <c r="AR126">
        <v>2.305388595224116</v>
      </c>
      <c r="AS126">
        <v>0.59969539080742607</v>
      </c>
      <c r="AT126">
        <v>3.7799064979534336</v>
      </c>
      <c r="AU126">
        <v>0.54685953017559541</v>
      </c>
      <c r="AV126">
        <v>2.932475545709039</v>
      </c>
      <c r="AW126">
        <v>5.1042997762973812</v>
      </c>
      <c r="AX126">
        <v>5.9066660798005728</v>
      </c>
      <c r="AY126">
        <v>6.4724943001548354</v>
      </c>
      <c r="AZ126">
        <v>6.8507297699878364</v>
      </c>
      <c r="BA126">
        <v>0.23228274481297717</v>
      </c>
      <c r="BB126">
        <v>3.3069398163108872</v>
      </c>
      <c r="BC126">
        <v>8.0584736029090607</v>
      </c>
      <c r="BD126">
        <v>5.1211061197056011</v>
      </c>
      <c r="BE126">
        <v>4.5686796144498203</v>
      </c>
      <c r="BF126">
        <v>3.7978483925754034</v>
      </c>
      <c r="BG126">
        <v>5.020111002324839</v>
      </c>
      <c r="BH126">
        <v>4.9677211275976703</v>
      </c>
      <c r="BI126">
        <v>4.2135170681474392</v>
      </c>
      <c r="BJ126">
        <v>3.837958173647209</v>
      </c>
      <c r="BK126">
        <v>5.6479464070921921</v>
      </c>
      <c r="BL126">
        <v>5.1141588576780066</v>
      </c>
      <c r="BM126">
        <v>-0.27276632743881635</v>
      </c>
      <c r="BN126">
        <v>7.5904894733346708</v>
      </c>
      <c r="BO126">
        <v>4.8466348557707022</v>
      </c>
    </row>
    <row r="127" spans="1:67">
      <c r="A127" t="s">
        <v>1023</v>
      </c>
      <c r="B127" t="s">
        <v>1024</v>
      </c>
      <c r="C127" t="s">
        <v>784</v>
      </c>
      <c r="D127" t="s">
        <v>785</v>
      </c>
      <c r="AF127">
        <v>3.2999683718902588</v>
      </c>
      <c r="AG127">
        <v>13.200030055759427</v>
      </c>
      <c r="AH127">
        <v>2.7897509388341319</v>
      </c>
      <c r="AI127">
        <v>5.7027966331172593</v>
      </c>
      <c r="AJ127">
        <v>-7.9439252272879486</v>
      </c>
      <c r="AK127">
        <v>-13.837837818252524</v>
      </c>
      <c r="AL127">
        <v>-15.459328221823426</v>
      </c>
      <c r="AM127">
        <v>-20.085158836151095</v>
      </c>
      <c r="AN127">
        <v>-5.4238219104014576</v>
      </c>
      <c r="AO127">
        <v>7.0845024080290102</v>
      </c>
      <c r="AP127">
        <v>9.9152538938728867</v>
      </c>
      <c r="AQ127">
        <v>2.121835263820131</v>
      </c>
      <c r="AR127">
        <v>3.6557893904151797</v>
      </c>
      <c r="AS127">
        <v>5.4433366331404898</v>
      </c>
      <c r="AT127">
        <v>5.3216214220862099</v>
      </c>
      <c r="AU127">
        <v>-1.7324601950875262E-2</v>
      </c>
      <c r="AV127">
        <v>7.030293200878674</v>
      </c>
      <c r="AW127">
        <v>7.026812415441654</v>
      </c>
      <c r="AX127">
        <v>-0.17551541253473602</v>
      </c>
      <c r="AY127">
        <v>3.1028987453345991</v>
      </c>
      <c r="AZ127">
        <v>8.542874764451696</v>
      </c>
      <c r="BA127">
        <v>8.4016160598996663</v>
      </c>
      <c r="BB127">
        <v>2.8862945753759277</v>
      </c>
      <c r="BC127">
        <v>-0.4715666011300641</v>
      </c>
      <c r="BD127">
        <v>5.9562743086264476</v>
      </c>
      <c r="BE127">
        <v>-8.8150201010549267E-2</v>
      </c>
      <c r="BF127">
        <v>10.915469454314433</v>
      </c>
      <c r="BG127">
        <v>4.0240386257684833</v>
      </c>
      <c r="BH127">
        <v>3.8758254482141155</v>
      </c>
      <c r="BI127">
        <v>4.3358559171595914</v>
      </c>
      <c r="BJ127">
        <v>4.7399372253946694</v>
      </c>
      <c r="BK127">
        <v>3.7579101248049511</v>
      </c>
      <c r="BL127">
        <v>4.600625666467522</v>
      </c>
      <c r="BM127">
        <v>-7.1489775772795525</v>
      </c>
      <c r="BN127">
        <v>5.5070076283992222</v>
      </c>
      <c r="BO127">
        <v>6.331752920051656</v>
      </c>
    </row>
    <row r="128" spans="1:67">
      <c r="A128" t="s">
        <v>1025</v>
      </c>
      <c r="B128" t="s">
        <v>1026</v>
      </c>
      <c r="C128" t="s">
        <v>784</v>
      </c>
      <c r="D128" t="s">
        <v>785</v>
      </c>
      <c r="AM128">
        <v>-34.808638773836691</v>
      </c>
      <c r="AN128">
        <v>9.9034689010939871</v>
      </c>
      <c r="AO128">
        <v>5.8975056067295242</v>
      </c>
      <c r="AP128">
        <v>4.0066210789811123</v>
      </c>
      <c r="AQ128">
        <v>4.6816321042427234</v>
      </c>
      <c r="AR128">
        <v>12.705381137987132</v>
      </c>
      <c r="AS128">
        <v>9.99358032294613</v>
      </c>
      <c r="AT128">
        <v>8.1483860967759938</v>
      </c>
      <c r="AU128">
        <v>6.5789394987276779</v>
      </c>
      <c r="AV128">
        <v>8.5058955603138457</v>
      </c>
      <c r="AW128">
        <v>10.340528773322916</v>
      </c>
      <c r="AX128">
        <v>13.250086914945427</v>
      </c>
      <c r="AY128">
        <v>10.771083669366305</v>
      </c>
      <c r="AZ128">
        <v>10.212573914439176</v>
      </c>
      <c r="BA128">
        <v>6.6915774761994555</v>
      </c>
      <c r="BB128">
        <v>8.669695926938914E-2</v>
      </c>
      <c r="BC128">
        <v>5.9630785728641627</v>
      </c>
      <c r="BD128">
        <v>7.0695699462904713</v>
      </c>
      <c r="BE128">
        <v>7.3133455056521939</v>
      </c>
      <c r="BF128">
        <v>7.3566651486145247</v>
      </c>
      <c r="BG128">
        <v>7.1425711002477641</v>
      </c>
      <c r="BH128">
        <v>6.9657978165098058</v>
      </c>
      <c r="BI128">
        <v>6.9333139716255943</v>
      </c>
      <c r="BJ128">
        <v>6.9969036995899785</v>
      </c>
      <c r="BK128">
        <v>7.4691692080309338</v>
      </c>
      <c r="BL128">
        <v>7.0541069315204226</v>
      </c>
      <c r="BM128">
        <v>-3.0960067313188802</v>
      </c>
      <c r="BN128">
        <v>3.0263893638938981</v>
      </c>
      <c r="BO128">
        <v>5.2398102893046001</v>
      </c>
    </row>
    <row r="129" spans="1:67">
      <c r="A129" t="s">
        <v>1027</v>
      </c>
      <c r="B129" t="s">
        <v>1028</v>
      </c>
      <c r="C129" t="s">
        <v>784</v>
      </c>
      <c r="D129" t="s">
        <v>785</v>
      </c>
      <c r="P129">
        <v>-2.2900603437659584</v>
      </c>
      <c r="Q129">
        <v>12.079226849435983</v>
      </c>
      <c r="R129">
        <v>20.909882916898454</v>
      </c>
      <c r="S129">
        <v>45.302753624144486</v>
      </c>
      <c r="T129">
        <v>5.344419884288925</v>
      </c>
      <c r="U129">
        <v>-26.768232519017872</v>
      </c>
      <c r="V129">
        <v>-4.6126295670070903</v>
      </c>
      <c r="W129">
        <v>1.0595933395934054</v>
      </c>
      <c r="X129">
        <v>-11.584994225591913</v>
      </c>
      <c r="Y129">
        <v>-16.507732350010656</v>
      </c>
      <c r="Z129">
        <v>0</v>
      </c>
      <c r="AA129">
        <v>0.8928571428571388</v>
      </c>
      <c r="AB129">
        <v>-2.6548672566371749</v>
      </c>
      <c r="AC129">
        <v>1.818181818181813</v>
      </c>
      <c r="AD129">
        <v>-4.4642857142857082</v>
      </c>
      <c r="AE129">
        <v>0.93457943925233167</v>
      </c>
      <c r="AF129">
        <v>0.92592592592592382</v>
      </c>
      <c r="AG129">
        <v>9.1743119266054975</v>
      </c>
      <c r="AH129">
        <v>-3.3613445378151283</v>
      </c>
      <c r="AI129">
        <v>-0.86956521739129755</v>
      </c>
      <c r="AJ129">
        <v>0</v>
      </c>
      <c r="AK129">
        <v>0.87719298245613686</v>
      </c>
      <c r="AL129">
        <v>0.86956521739129755</v>
      </c>
      <c r="AM129">
        <v>1.7241379310344769</v>
      </c>
      <c r="AN129">
        <v>0</v>
      </c>
      <c r="AO129">
        <v>1.6949152542372872</v>
      </c>
      <c r="AP129">
        <v>1.6666666666666572</v>
      </c>
      <c r="AQ129">
        <v>6.5573770491803316</v>
      </c>
      <c r="AR129">
        <v>-1.538461538461533</v>
      </c>
      <c r="AS129">
        <v>6.25</v>
      </c>
      <c r="AT129">
        <v>-1.470588235294116</v>
      </c>
      <c r="AU129">
        <v>3.787462686567153</v>
      </c>
      <c r="AV129">
        <v>2.0063246358804463</v>
      </c>
      <c r="AW129">
        <v>-1.6293602038550574</v>
      </c>
      <c r="AX129">
        <v>4.9516316264671616</v>
      </c>
      <c r="AY129">
        <v>-4.9295322679526521E-2</v>
      </c>
      <c r="AZ129">
        <v>2.0349472648778715</v>
      </c>
      <c r="BA129">
        <v>-2.0914367581391247</v>
      </c>
      <c r="BB129">
        <v>0.80281988690367712</v>
      </c>
      <c r="BC129">
        <v>-1.1202602612516159</v>
      </c>
      <c r="BD129">
        <v>1.7625760103615562</v>
      </c>
      <c r="BE129">
        <v>5.1361443289656279</v>
      </c>
      <c r="BF129">
        <v>4.1615744771983145</v>
      </c>
      <c r="BG129">
        <v>-1.096288599251082</v>
      </c>
      <c r="BH129">
        <v>9.8651747214117051</v>
      </c>
      <c r="BI129">
        <v>-0.4781967546523731</v>
      </c>
      <c r="BJ129">
        <v>0.18602723693767587</v>
      </c>
      <c r="BK129">
        <v>5.1136363636363598</v>
      </c>
      <c r="BL129">
        <v>-2.1621621621621614</v>
      </c>
      <c r="BM129">
        <v>-1.6574585635359114</v>
      </c>
      <c r="BN129">
        <v>7.8651685393258362</v>
      </c>
      <c r="BO129">
        <v>1.5625</v>
      </c>
    </row>
    <row r="130" spans="1:67">
      <c r="A130" t="s">
        <v>1029</v>
      </c>
      <c r="B130" t="s">
        <v>1030</v>
      </c>
      <c r="C130" t="s">
        <v>784</v>
      </c>
      <c r="D130" t="s">
        <v>785</v>
      </c>
      <c r="W130">
        <v>3.9099041823713776</v>
      </c>
      <c r="X130">
        <v>7.5976750284065986</v>
      </c>
      <c r="Y130">
        <v>8.4401210373469269</v>
      </c>
      <c r="Z130">
        <v>1.5469033840852546</v>
      </c>
      <c r="AA130">
        <v>0.54773804474115195</v>
      </c>
      <c r="AB130">
        <v>1.1867204695524549</v>
      </c>
      <c r="AC130">
        <v>8.8658074573567376</v>
      </c>
      <c r="AD130">
        <v>8.5500682673415724</v>
      </c>
      <c r="AE130">
        <v>10.856993849032875</v>
      </c>
      <c r="AF130">
        <v>6.5503452283765142</v>
      </c>
      <c r="AG130">
        <v>9.2253749756509222</v>
      </c>
      <c r="AH130">
        <v>5.4797940767337536</v>
      </c>
      <c r="AI130">
        <v>4.8772515160395926</v>
      </c>
      <c r="AJ130">
        <v>-1.864689128916126</v>
      </c>
      <c r="AK130">
        <v>4.2689738254298533</v>
      </c>
      <c r="AL130">
        <v>6.8019494160154608</v>
      </c>
      <c r="AM130">
        <v>5.3017190511781536</v>
      </c>
      <c r="AN130">
        <v>5.3831426570161227</v>
      </c>
      <c r="AO130">
        <v>5.842838025859848</v>
      </c>
      <c r="AP130">
        <v>6.8239667760734193</v>
      </c>
      <c r="AQ130">
        <v>-0.48674577918515638</v>
      </c>
      <c r="AR130">
        <v>3.2198864218145644</v>
      </c>
      <c r="AS130">
        <v>10.042808415172956</v>
      </c>
      <c r="AT130">
        <v>5.2534498301088632</v>
      </c>
      <c r="AU130">
        <v>1.3677150725363276</v>
      </c>
      <c r="AV130">
        <v>-3.9333948603293862</v>
      </c>
      <c r="AW130">
        <v>3.9963466612543073</v>
      </c>
      <c r="AX130">
        <v>9.7328207029801632</v>
      </c>
      <c r="AY130">
        <v>3.1503811996822293</v>
      </c>
      <c r="AZ130">
        <v>0.60060232654375056</v>
      </c>
      <c r="BA130">
        <v>11.178527968372393</v>
      </c>
      <c r="BB130">
        <v>-3.3793061134133353</v>
      </c>
      <c r="BC130">
        <v>4.3977654097162144E-2</v>
      </c>
      <c r="BD130">
        <v>1.6166073042368794</v>
      </c>
      <c r="BE130">
        <v>-0.52576235541535254</v>
      </c>
      <c r="BF130">
        <v>5.7098229781325784</v>
      </c>
      <c r="BG130">
        <v>7.581478883399754</v>
      </c>
      <c r="BH130">
        <v>0.71401485372868478</v>
      </c>
      <c r="BI130">
        <v>3.922658022095078</v>
      </c>
      <c r="BJ130">
        <v>1.8115221646368695E-2</v>
      </c>
      <c r="BK130">
        <v>2.0528338560763331</v>
      </c>
      <c r="BL130">
        <v>4.0494855356965047</v>
      </c>
      <c r="BM130">
        <v>-14.559516083404063</v>
      </c>
      <c r="BN130">
        <v>-0.89153986609859714</v>
      </c>
      <c r="BO130">
        <v>8.8452088452089015</v>
      </c>
    </row>
    <row r="131" spans="1:67">
      <c r="A131" t="s">
        <v>1031</v>
      </c>
      <c r="B131" t="s">
        <v>1032</v>
      </c>
      <c r="C131" t="s">
        <v>784</v>
      </c>
      <c r="D131" t="s">
        <v>785</v>
      </c>
      <c r="F131">
        <v>6.9359926522440531</v>
      </c>
      <c r="G131">
        <v>3.8952725307529903</v>
      </c>
      <c r="H131">
        <v>9.0205682827976261</v>
      </c>
      <c r="I131">
        <v>9.4738247180544448</v>
      </c>
      <c r="J131">
        <v>7.3184335802212814</v>
      </c>
      <c r="K131">
        <v>11.99395660844867</v>
      </c>
      <c r="L131">
        <v>9.0796065539800992</v>
      </c>
      <c r="M131">
        <v>13.165768290076699</v>
      </c>
      <c r="N131">
        <v>14.561366696392653</v>
      </c>
      <c r="O131">
        <v>10.052734807262297</v>
      </c>
      <c r="P131">
        <v>10.545513552197079</v>
      </c>
      <c r="Q131">
        <v>7.2143607217999062</v>
      </c>
      <c r="R131">
        <v>14.898322657348871</v>
      </c>
      <c r="S131">
        <v>9.5118354344004672</v>
      </c>
      <c r="T131">
        <v>7.8399333381073006</v>
      </c>
      <c r="U131">
        <v>13.221447802562651</v>
      </c>
      <c r="V131">
        <v>12.335982195018474</v>
      </c>
      <c r="W131">
        <v>10.952985695484756</v>
      </c>
      <c r="X131">
        <v>8.6712267070971478</v>
      </c>
      <c r="Y131">
        <v>-1.645687640444379</v>
      </c>
      <c r="Z131">
        <v>7.2461762851061167</v>
      </c>
      <c r="AA131">
        <v>8.3380780869153597</v>
      </c>
      <c r="AB131">
        <v>13.376174490369337</v>
      </c>
      <c r="AC131">
        <v>10.551640354985253</v>
      </c>
      <c r="AD131">
        <v>7.8388640217408749</v>
      </c>
      <c r="AE131">
        <v>11.327261196306623</v>
      </c>
      <c r="AF131">
        <v>12.723692119326884</v>
      </c>
      <c r="AG131">
        <v>11.987715559382423</v>
      </c>
      <c r="AH131">
        <v>7.0728936053141638</v>
      </c>
      <c r="AI131">
        <v>9.8775525016936001</v>
      </c>
      <c r="AJ131">
        <v>10.778056126896658</v>
      </c>
      <c r="AK131">
        <v>6.1986427983637356</v>
      </c>
      <c r="AL131">
        <v>6.8774741286855772</v>
      </c>
      <c r="AM131">
        <v>9.2686663377837561</v>
      </c>
      <c r="AN131">
        <v>9.6145653931996549</v>
      </c>
      <c r="AO131">
        <v>7.8907033260066726</v>
      </c>
      <c r="AP131">
        <v>6.1705524265897651</v>
      </c>
      <c r="AQ131">
        <v>-5.129448165209638</v>
      </c>
      <c r="AR131">
        <v>11.466942426742492</v>
      </c>
      <c r="AS131">
        <v>9.0608333250853406</v>
      </c>
      <c r="AT131">
        <v>4.8523995715128052</v>
      </c>
      <c r="AU131">
        <v>7.7251426754717301</v>
      </c>
      <c r="AV131">
        <v>3.1472911937340911</v>
      </c>
      <c r="AW131">
        <v>5.197391363243824</v>
      </c>
      <c r="AX131">
        <v>4.3085427141123631</v>
      </c>
      <c r="AY131">
        <v>5.2643265946672386</v>
      </c>
      <c r="AZ131">
        <v>5.799548415032163</v>
      </c>
      <c r="BA131">
        <v>3.0129848728116713</v>
      </c>
      <c r="BB131">
        <v>0.79269898951818618</v>
      </c>
      <c r="BC131">
        <v>6.8048249178367115</v>
      </c>
      <c r="BD131">
        <v>3.6856677821252646</v>
      </c>
      <c r="BE131">
        <v>2.4025309924618625</v>
      </c>
      <c r="BF131">
        <v>3.1647086364718433</v>
      </c>
      <c r="BG131">
        <v>3.2024537945736</v>
      </c>
      <c r="BH131">
        <v>2.8091032682413299</v>
      </c>
      <c r="BI131">
        <v>2.9468817150862634</v>
      </c>
      <c r="BJ131">
        <v>3.1596357401277686</v>
      </c>
      <c r="BK131">
        <v>2.9074037737713496</v>
      </c>
      <c r="BL131">
        <v>2.243977860110121</v>
      </c>
      <c r="BM131">
        <v>-0.7094153593976813</v>
      </c>
      <c r="BN131">
        <v>4.3047348190696937</v>
      </c>
      <c r="BO131">
        <v>2.6126721918722637</v>
      </c>
    </row>
    <row r="132" spans="1:67">
      <c r="A132" t="s">
        <v>1033</v>
      </c>
      <c r="B132" t="s">
        <v>1034</v>
      </c>
      <c r="C132" t="s">
        <v>784</v>
      </c>
      <c r="D132" t="s">
        <v>785</v>
      </c>
      <c r="AL132">
        <v>33.990467555900779</v>
      </c>
      <c r="AM132">
        <v>8.4361656447220099</v>
      </c>
      <c r="AN132">
        <v>4.8582912520274135</v>
      </c>
      <c r="AO132">
        <v>0.60512715880707901</v>
      </c>
      <c r="AP132">
        <v>2.4733252580408447</v>
      </c>
      <c r="AQ132">
        <v>3.6620547279544269</v>
      </c>
      <c r="AR132">
        <v>-1.7890091245007937</v>
      </c>
      <c r="AS132">
        <v>4.6945818707921063</v>
      </c>
      <c r="AT132">
        <v>0.21333257649935433</v>
      </c>
      <c r="AU132">
        <v>3.0142831519225126</v>
      </c>
      <c r="AV132">
        <v>17.326020417514343</v>
      </c>
      <c r="AW132">
        <v>10.240298058635375</v>
      </c>
      <c r="AX132">
        <v>10.609044984022844</v>
      </c>
      <c r="AY132">
        <v>7.5147730002402113</v>
      </c>
      <c r="AZ132">
        <v>5.991575510593151</v>
      </c>
      <c r="BA132">
        <v>2.4797569427854427</v>
      </c>
      <c r="BB132">
        <v>-7.0760564307341127</v>
      </c>
      <c r="BC132">
        <v>-2.3702641202043822</v>
      </c>
      <c r="BD132">
        <v>9.6284069747757002</v>
      </c>
      <c r="BE132">
        <v>6.6258183001417308</v>
      </c>
      <c r="BF132">
        <v>1.1493004370652073</v>
      </c>
      <c r="BG132">
        <v>0.50087698215865828</v>
      </c>
      <c r="BH132">
        <v>0.59301961722123053</v>
      </c>
      <c r="BI132">
        <v>2.9258682259157638</v>
      </c>
      <c r="BJ132">
        <v>-4.7121062085199696</v>
      </c>
      <c r="BK132">
        <v>2.4339812685020092</v>
      </c>
      <c r="BL132">
        <v>-0.55195933170844569</v>
      </c>
      <c r="BM132">
        <v>-8.855278885357464</v>
      </c>
      <c r="BN132">
        <v>1.1469723387290429</v>
      </c>
      <c r="BO132">
        <v>8.8607594936708836</v>
      </c>
    </row>
    <row r="133" spans="1:67">
      <c r="A133" t="s">
        <v>1035</v>
      </c>
      <c r="B133" t="s">
        <v>1036</v>
      </c>
      <c r="C133" t="s">
        <v>784</v>
      </c>
      <c r="D133" t="s">
        <v>785</v>
      </c>
      <c r="F133">
        <v>6.1614614147967899</v>
      </c>
      <c r="G133">
        <v>4.3462293696203176</v>
      </c>
      <c r="H133">
        <v>1.7597209773684739</v>
      </c>
      <c r="I133">
        <v>7.6091794148659204</v>
      </c>
      <c r="J133">
        <v>5.8664694046420891</v>
      </c>
      <c r="K133">
        <v>4.6320394943083869</v>
      </c>
      <c r="L133">
        <v>4.4497911246693604</v>
      </c>
      <c r="M133">
        <v>7.4424821048879863</v>
      </c>
      <c r="N133">
        <v>6.8998159790460107</v>
      </c>
      <c r="O133">
        <v>6.8108830116704269</v>
      </c>
      <c r="P133">
        <v>6.9751809999654597</v>
      </c>
      <c r="Q133">
        <v>7.7240034654165584</v>
      </c>
      <c r="R133">
        <v>8.7011043054821045</v>
      </c>
      <c r="S133">
        <v>6.6493701453411234</v>
      </c>
      <c r="T133">
        <v>4.2423858825493426</v>
      </c>
      <c r="U133">
        <v>5.5045173106399403</v>
      </c>
      <c r="V133">
        <v>4.7540753355279151</v>
      </c>
      <c r="W133">
        <v>4.3074978613410764</v>
      </c>
      <c r="X133">
        <v>7.3567022607077206</v>
      </c>
      <c r="Y133">
        <v>6.6316666715146084</v>
      </c>
      <c r="Z133">
        <v>1.0557986117289744</v>
      </c>
      <c r="AA133">
        <v>0.2570558337104103</v>
      </c>
      <c r="AB133">
        <v>-2.0775595343341564</v>
      </c>
      <c r="AC133">
        <v>3.9153830830678658</v>
      </c>
      <c r="AD133">
        <v>3.1455863039553122</v>
      </c>
      <c r="AE133">
        <v>3.3682422409021058</v>
      </c>
      <c r="AF133">
        <v>3.159936259475856</v>
      </c>
      <c r="AG133">
        <v>0.36354271369634716</v>
      </c>
      <c r="AH133">
        <v>1.395547010001863</v>
      </c>
      <c r="AI133">
        <v>-0.46381912120097013</v>
      </c>
      <c r="AJ133">
        <v>2.8047307566771735</v>
      </c>
      <c r="AK133">
        <v>2.1365776140322765</v>
      </c>
      <c r="AL133">
        <v>4.3510070049854335</v>
      </c>
      <c r="AM133">
        <v>5.2649896011732125</v>
      </c>
      <c r="AN133">
        <v>0.41739973559280941</v>
      </c>
      <c r="AO133">
        <v>3.8688548983121223</v>
      </c>
      <c r="AP133">
        <v>5.2817443311200805</v>
      </c>
      <c r="AQ133">
        <v>2.7860563444155986</v>
      </c>
      <c r="AR133">
        <v>0.52153607728655516</v>
      </c>
      <c r="AS133">
        <v>3.6185043479885763</v>
      </c>
      <c r="AT133">
        <v>0.17675103867564701</v>
      </c>
      <c r="AU133">
        <v>0.35740775325305663</v>
      </c>
      <c r="AV133">
        <v>2.4044695212085685</v>
      </c>
      <c r="AW133">
        <v>5.3014761360300469</v>
      </c>
      <c r="AX133">
        <v>3.9885564522044632</v>
      </c>
      <c r="AY133">
        <v>5.2530820676462326</v>
      </c>
      <c r="AZ133">
        <v>5.3367899733744082</v>
      </c>
      <c r="BA133">
        <v>3.739297372448263</v>
      </c>
      <c r="BB133">
        <v>-2.4123094340652216</v>
      </c>
      <c r="BC133">
        <v>6.6590936141976727</v>
      </c>
      <c r="BD133">
        <v>4.4176063237170666</v>
      </c>
      <c r="BE133">
        <v>2.3715429488215136</v>
      </c>
      <c r="BF133">
        <v>2.7231692357211301</v>
      </c>
      <c r="BG133">
        <v>1.2881878255640089</v>
      </c>
      <c r="BH133">
        <v>0.29205105037900125</v>
      </c>
      <c r="BI133">
        <v>-0.49528319486203998</v>
      </c>
      <c r="BJ133">
        <v>1.9424361930311989</v>
      </c>
      <c r="BK133">
        <v>1.5708284408860749</v>
      </c>
      <c r="BL133">
        <v>0.65526475407470741</v>
      </c>
      <c r="BM133">
        <v>-6.519017249038555</v>
      </c>
      <c r="BN133">
        <v>6.8252927110674193</v>
      </c>
      <c r="BO133">
        <v>3.7420791171918637</v>
      </c>
    </row>
    <row r="134" spans="1:67">
      <c r="A134" t="s">
        <v>1037</v>
      </c>
      <c r="B134" t="s">
        <v>1038</v>
      </c>
      <c r="C134" t="s">
        <v>784</v>
      </c>
      <c r="D134" t="s">
        <v>785</v>
      </c>
      <c r="AD134">
        <v>5.0699639472483682</v>
      </c>
      <c r="AE134">
        <v>4.885133262754124</v>
      </c>
      <c r="AF134">
        <v>-1.4257923829339489</v>
      </c>
      <c r="AG134">
        <v>-2.0102010530500252</v>
      </c>
      <c r="AH134">
        <v>14.190636629099799</v>
      </c>
      <c r="AI134">
        <v>6.7045786908151399</v>
      </c>
      <c r="AJ134">
        <v>4.2965636411015424</v>
      </c>
      <c r="AK134">
        <v>5.5598577681754193</v>
      </c>
      <c r="AL134">
        <v>5.9125565543211849</v>
      </c>
      <c r="AM134">
        <v>8.1590185327180933</v>
      </c>
      <c r="AN134">
        <v>7.0312543241900443</v>
      </c>
      <c r="AO134">
        <v>6.9283237283322023</v>
      </c>
      <c r="AP134">
        <v>6.8720912712069548</v>
      </c>
      <c r="AQ134">
        <v>3.9676080919769845</v>
      </c>
      <c r="AR134">
        <v>7.3063760713816919</v>
      </c>
      <c r="AS134">
        <v>5.7987823286195948</v>
      </c>
      <c r="AT134">
        <v>5.7514128798319462</v>
      </c>
      <c r="AU134">
        <v>5.9187436837056424</v>
      </c>
      <c r="AV134">
        <v>6.0670023034427203</v>
      </c>
      <c r="AW134">
        <v>6.3576954800823415</v>
      </c>
      <c r="AX134">
        <v>7.1075683681126662</v>
      </c>
      <c r="AY134">
        <v>8.6192662083280709</v>
      </c>
      <c r="AZ134">
        <v>7.5968288005487778</v>
      </c>
      <c r="BA134">
        <v>7.8249027633701189</v>
      </c>
      <c r="BB134">
        <v>7.5017749122585258</v>
      </c>
      <c r="BC134">
        <v>8.526905517397168</v>
      </c>
      <c r="BD134">
        <v>8.0386526802372487</v>
      </c>
      <c r="BE134">
        <v>8.0260984346128339</v>
      </c>
      <c r="BF134">
        <v>8.0263002269901733</v>
      </c>
      <c r="BG134">
        <v>7.6119634397931861</v>
      </c>
      <c r="BH134">
        <v>7.2700658437378536</v>
      </c>
      <c r="BI134">
        <v>7.0228362550113843</v>
      </c>
      <c r="BJ134">
        <v>6.8925308726988987</v>
      </c>
      <c r="BK134">
        <v>6.2479600075587172</v>
      </c>
      <c r="BL134">
        <v>5.4577350924847963</v>
      </c>
      <c r="BM134">
        <v>0.50303182901868126</v>
      </c>
      <c r="BN134">
        <v>2.5283510048610225</v>
      </c>
      <c r="BO134">
        <v>2.7074265264315471</v>
      </c>
    </row>
    <row r="135" spans="1:67">
      <c r="A135" t="s">
        <v>1039</v>
      </c>
      <c r="B135" t="s">
        <v>1040</v>
      </c>
      <c r="C135" t="s">
        <v>784</v>
      </c>
      <c r="D135" t="s">
        <v>785</v>
      </c>
      <c r="AH135">
        <v>-42.45111821576981</v>
      </c>
      <c r="AI135">
        <v>26.533160093249137</v>
      </c>
      <c r="AJ135">
        <v>49.447379184914126</v>
      </c>
      <c r="AK135">
        <v>16.438345704572811</v>
      </c>
      <c r="AL135">
        <v>10.765669797188892</v>
      </c>
      <c r="AM135">
        <v>8.1052419773450168</v>
      </c>
      <c r="AN135">
        <v>6.4488625698525794</v>
      </c>
      <c r="AO135">
        <v>11.285935716166804</v>
      </c>
      <c r="AP135">
        <v>1.0549666674066742</v>
      </c>
      <c r="AQ135">
        <v>3.6657237850568265</v>
      </c>
      <c r="AR135">
        <v>-0.52558463478308681</v>
      </c>
      <c r="AS135">
        <v>1.341871619704051</v>
      </c>
      <c r="AT135">
        <v>3.8396692770297278</v>
      </c>
      <c r="AU135">
        <v>3.4231498284378148</v>
      </c>
      <c r="AV135">
        <v>3.2270982687904137</v>
      </c>
      <c r="AW135">
        <v>6.6794446164110326</v>
      </c>
      <c r="AX135">
        <v>2.6857793101634542</v>
      </c>
      <c r="AY135">
        <v>1.5495150008321303</v>
      </c>
      <c r="AZ135">
        <v>9.3106225264114357</v>
      </c>
      <c r="BA135">
        <v>9.0691282678908181</v>
      </c>
      <c r="BB135">
        <v>10.232155577776012</v>
      </c>
      <c r="BC135">
        <v>7.975135558449324</v>
      </c>
      <c r="BD135">
        <v>0.86733987855276951</v>
      </c>
      <c r="BE135">
        <v>2.5647913368003827</v>
      </c>
      <c r="BF135">
        <v>3.8278734986016048</v>
      </c>
      <c r="BG135">
        <v>2.4840601050074298</v>
      </c>
      <c r="BH135">
        <v>0.46232079259758052</v>
      </c>
      <c r="BI135">
        <v>1.5545494085694287</v>
      </c>
      <c r="BJ135">
        <v>0.9030284640738131</v>
      </c>
      <c r="BK135">
        <v>-1.8847057563165066</v>
      </c>
      <c r="BL135">
        <v>-6.9149247285102575</v>
      </c>
      <c r="BM135">
        <v>-21.399899691432125</v>
      </c>
      <c r="BN135">
        <v>-7.0012386251411556</v>
      </c>
    </row>
    <row r="136" spans="1:67">
      <c r="A136" t="s">
        <v>1041</v>
      </c>
      <c r="B136" t="s">
        <v>1042</v>
      </c>
      <c r="C136" t="s">
        <v>784</v>
      </c>
      <c r="D136" t="s">
        <v>785</v>
      </c>
      <c r="AT136">
        <v>2.9202747656978119</v>
      </c>
      <c r="AU136">
        <v>3.7630176170007132</v>
      </c>
      <c r="AV136">
        <v>-30.145132727942027</v>
      </c>
      <c r="AW136">
        <v>2.6198468947741276</v>
      </c>
      <c r="AX136">
        <v>5.2812124530929481</v>
      </c>
      <c r="AY136">
        <v>8.0439099719005895</v>
      </c>
      <c r="AZ136">
        <v>9.5352753628228157</v>
      </c>
      <c r="BA136">
        <v>7.1456911281147626</v>
      </c>
      <c r="BB136">
        <v>5.300540502915311</v>
      </c>
      <c r="BC136">
        <v>6.0998252400414685</v>
      </c>
      <c r="BD136">
        <v>8.2007682249706448</v>
      </c>
      <c r="BE136">
        <v>7.9938144455536673</v>
      </c>
      <c r="BF136">
        <v>8.6872878163968323</v>
      </c>
      <c r="BG136">
        <v>0.70139310028751822</v>
      </c>
      <c r="BH136">
        <v>-1.8564969559093925E-2</v>
      </c>
      <c r="BI136">
        <v>-1.5549586174877987</v>
      </c>
      <c r="BJ136">
        <v>2.4551559201223938</v>
      </c>
      <c r="BK136">
        <v>1.1575751220735526</v>
      </c>
      <c r="BL136">
        <v>-2.4672976353268581</v>
      </c>
      <c r="BM136">
        <v>-2.9824912764947271</v>
      </c>
      <c r="BN136">
        <v>4.9867128348161742</v>
      </c>
      <c r="BO136">
        <v>4.808104887110602</v>
      </c>
    </row>
    <row r="137" spans="1:67">
      <c r="A137" t="s">
        <v>1043</v>
      </c>
      <c r="B137" t="s">
        <v>1044</v>
      </c>
      <c r="C137" t="s">
        <v>784</v>
      </c>
      <c r="D137" t="s">
        <v>785</v>
      </c>
      <c r="AS137">
        <v>3.6792704081999972</v>
      </c>
      <c r="AT137">
        <v>-1.7628388706260267</v>
      </c>
      <c r="AU137">
        <v>-0.95889733284963086</v>
      </c>
      <c r="AV137">
        <v>13.016037247801336</v>
      </c>
      <c r="AW137">
        <v>4.4616389964863714</v>
      </c>
      <c r="AX137">
        <v>11.870756522615096</v>
      </c>
      <c r="AY137">
        <v>6.5005254195927904</v>
      </c>
      <c r="AZ137">
        <v>6.2299827856183754</v>
      </c>
      <c r="BA137">
        <v>-0.16204823879988339</v>
      </c>
      <c r="BB137">
        <v>-4.400181763102097</v>
      </c>
      <c r="BC137">
        <v>5.0272476723774986</v>
      </c>
      <c r="BD137">
        <v>-50.338515138498622</v>
      </c>
      <c r="BE137">
        <v>86.826748439578438</v>
      </c>
      <c r="BF137">
        <v>-17.997961574568123</v>
      </c>
      <c r="BG137">
        <v>-23.042805828221503</v>
      </c>
      <c r="BH137">
        <v>-0.84265625211884299</v>
      </c>
      <c r="BI137">
        <v>-1.4909411172621958</v>
      </c>
      <c r="BJ137">
        <v>32.491802186268757</v>
      </c>
      <c r="BK137">
        <v>7.9413678529104033</v>
      </c>
      <c r="BL137">
        <v>-11.195694590863809</v>
      </c>
      <c r="BM137">
        <v>-29.78714798855286</v>
      </c>
      <c r="BN137">
        <v>31.3725154401954</v>
      </c>
      <c r="BO137">
        <v>-1.2369819441876757</v>
      </c>
    </row>
    <row r="138" spans="1:67">
      <c r="A138" t="s">
        <v>1045</v>
      </c>
      <c r="B138" t="s">
        <v>1046</v>
      </c>
      <c r="C138" t="s">
        <v>784</v>
      </c>
      <c r="D138" t="s">
        <v>785</v>
      </c>
      <c r="W138">
        <v>10.311940707651132</v>
      </c>
      <c r="X138">
        <v>3.7927344039377289</v>
      </c>
      <c r="Y138">
        <v>-2.2205280913928789</v>
      </c>
      <c r="Z138">
        <v>6.3102531827511967</v>
      </c>
      <c r="AA138">
        <v>2.0863421064560441</v>
      </c>
      <c r="AB138">
        <v>4.965383971970283</v>
      </c>
      <c r="AC138">
        <v>7.2655736396341837</v>
      </c>
      <c r="AD138">
        <v>8.2877650711921262</v>
      </c>
      <c r="AE138">
        <v>14.402019295450771</v>
      </c>
      <c r="AF138">
        <v>3.9237313851513846</v>
      </c>
      <c r="AG138">
        <v>13.899663839310449</v>
      </c>
      <c r="AH138">
        <v>8.9810042032052166</v>
      </c>
      <c r="AI138">
        <v>9.8907015304415751</v>
      </c>
      <c r="AJ138">
        <v>0.37567802889731183</v>
      </c>
      <c r="AK138">
        <v>7.9530753604442026</v>
      </c>
      <c r="AL138">
        <v>0.58319975822205095</v>
      </c>
      <c r="AM138">
        <v>1.5985601620634071</v>
      </c>
      <c r="AN138">
        <v>1.7482258650376679</v>
      </c>
      <c r="AO138">
        <v>2.9225879574221949</v>
      </c>
      <c r="AP138">
        <v>-0.69413014205930779</v>
      </c>
      <c r="AQ138">
        <v>6.2864712151186239</v>
      </c>
      <c r="AR138">
        <v>2.6706035112741944</v>
      </c>
      <c r="AS138">
        <v>4.8748553520113092E-2</v>
      </c>
      <c r="AT138">
        <v>-3.4080639618940438</v>
      </c>
      <c r="AU138">
        <v>0.41645049304321446</v>
      </c>
      <c r="AV138">
        <v>4.2646114873822256</v>
      </c>
      <c r="AW138">
        <v>7.2674088699471042</v>
      </c>
      <c r="AX138">
        <v>-0.41030472629023507</v>
      </c>
      <c r="AY138">
        <v>6.1952572914104849</v>
      </c>
      <c r="AZ138">
        <v>1.691618574339131</v>
      </c>
      <c r="BA138">
        <v>4.9493219402805693</v>
      </c>
      <c r="BB138">
        <v>-2.828899548306282</v>
      </c>
      <c r="BC138">
        <v>0.33001854607148573</v>
      </c>
      <c r="BD138">
        <v>4.3269428053214227</v>
      </c>
      <c r="BE138">
        <v>-0.10875614826235847</v>
      </c>
      <c r="BF138">
        <v>-2.005024373725206</v>
      </c>
      <c r="BG138">
        <v>1.3280025716237276</v>
      </c>
      <c r="BH138">
        <v>0.10191335382174316</v>
      </c>
      <c r="BI138">
        <v>3.427853837865257</v>
      </c>
      <c r="BJ138">
        <v>3.3870195530191154</v>
      </c>
      <c r="BK138">
        <v>2.8807682048546326</v>
      </c>
      <c r="BL138">
        <v>-0.65015268055195463</v>
      </c>
      <c r="BM138">
        <v>-24.364576103168375</v>
      </c>
      <c r="BN138">
        <v>12.229905547808343</v>
      </c>
      <c r="BO138">
        <v>15.879512207619186</v>
      </c>
    </row>
    <row r="139" spans="1:67">
      <c r="A139" t="s">
        <v>1047</v>
      </c>
      <c r="B139" t="s">
        <v>1048</v>
      </c>
      <c r="C139" t="s">
        <v>784</v>
      </c>
      <c r="D139" t="s">
        <v>785</v>
      </c>
      <c r="F139">
        <v>6.1281174009853174</v>
      </c>
      <c r="G139">
        <v>4.301918409119537</v>
      </c>
      <c r="H139">
        <v>2.1019402717725342</v>
      </c>
      <c r="I139">
        <v>7.2737408598868569</v>
      </c>
      <c r="J139">
        <v>5.6664389221322722</v>
      </c>
      <c r="K139">
        <v>4.9502533223903242</v>
      </c>
      <c r="L139">
        <v>4.3329837193995644</v>
      </c>
      <c r="M139">
        <v>7.1088818240109219</v>
      </c>
      <c r="N139">
        <v>6.8305099302771595</v>
      </c>
      <c r="O139">
        <v>6.5147537425240358</v>
      </c>
      <c r="P139">
        <v>6.8826477370874386</v>
      </c>
      <c r="Q139">
        <v>7.1763720230246548</v>
      </c>
      <c r="R139">
        <v>8.0109536267426193</v>
      </c>
      <c r="S139">
        <v>6.2689996572907347</v>
      </c>
      <c r="T139">
        <v>3.5933859814707461</v>
      </c>
      <c r="U139">
        <v>5.438488475496996</v>
      </c>
      <c r="V139">
        <v>4.8664460007648245</v>
      </c>
      <c r="W139">
        <v>4.5307729788839737</v>
      </c>
      <c r="X139">
        <v>7.3869487084450327</v>
      </c>
      <c r="Y139">
        <v>6.6341223767546182</v>
      </c>
      <c r="Z139">
        <v>1.2254849074276422</v>
      </c>
      <c r="AA139">
        <v>-0.16872926552932199</v>
      </c>
      <c r="AB139">
        <v>-2.2797745717796261</v>
      </c>
      <c r="AC139">
        <v>3.8909398559442394</v>
      </c>
      <c r="AD139">
        <v>3.1325735958372718</v>
      </c>
      <c r="AE139">
        <v>3.4784806244763331</v>
      </c>
      <c r="AF139">
        <v>3.2983493841694838</v>
      </c>
      <c r="AG139">
        <v>0.61536715908630413</v>
      </c>
      <c r="AH139">
        <v>1.7104766377854901</v>
      </c>
      <c r="AI139">
        <v>-0.37414570191711505</v>
      </c>
      <c r="AJ139">
        <v>2.949116618230633</v>
      </c>
      <c r="AK139">
        <v>2.5702518287541949</v>
      </c>
      <c r="AL139">
        <v>4.392586144933091</v>
      </c>
      <c r="AM139">
        <v>5.2251767499889183</v>
      </c>
      <c r="AN139">
        <v>0.83006629001135934</v>
      </c>
      <c r="AO139">
        <v>3.9658073517717867</v>
      </c>
      <c r="AP139">
        <v>5.3894016295020037</v>
      </c>
      <c r="AQ139">
        <v>2.9801244891696683</v>
      </c>
      <c r="AR139">
        <v>0.67393357026762146</v>
      </c>
      <c r="AS139">
        <v>3.6075315940029355</v>
      </c>
      <c r="AT139">
        <v>0.45380340545477793</v>
      </c>
      <c r="AU139">
        <v>0.45498506471091105</v>
      </c>
      <c r="AV139">
        <v>2.4526893056224992</v>
      </c>
      <c r="AW139">
        <v>5.4601719196489569</v>
      </c>
      <c r="AX139">
        <v>3.9315222839899349</v>
      </c>
      <c r="AY139">
        <v>5.1297439047214084</v>
      </c>
      <c r="AZ139">
        <v>5.1833505589747375</v>
      </c>
      <c r="BA139">
        <v>3.6401582438720226</v>
      </c>
      <c r="BB139">
        <v>-2.2846031531142188</v>
      </c>
      <c r="BC139">
        <v>6.3772191533012119</v>
      </c>
      <c r="BD139">
        <v>4.3886573252047469</v>
      </c>
      <c r="BE139">
        <v>2.5664142538122832</v>
      </c>
      <c r="BF139">
        <v>2.7226014517386403</v>
      </c>
      <c r="BG139">
        <v>1.3296812237297218</v>
      </c>
      <c r="BH139">
        <v>0.40733582037427141</v>
      </c>
      <c r="BI139">
        <v>-0.34485536569982855</v>
      </c>
      <c r="BJ139">
        <v>1.8218384692012819</v>
      </c>
      <c r="BK139">
        <v>1.5771045278381735</v>
      </c>
      <c r="BL139">
        <v>0.71436057005240627</v>
      </c>
      <c r="BM139">
        <v>-6.6211044909061485</v>
      </c>
      <c r="BN139">
        <v>7.0260476433048495</v>
      </c>
      <c r="BO139">
        <v>3.8884489073758743</v>
      </c>
    </row>
    <row r="140" spans="1:67">
      <c r="A140" t="s">
        <v>1049</v>
      </c>
      <c r="B140" t="s">
        <v>1050</v>
      </c>
      <c r="C140" t="s">
        <v>784</v>
      </c>
      <c r="D140" t="s">
        <v>785</v>
      </c>
      <c r="Z140">
        <v>2.9919716651777719</v>
      </c>
      <c r="AA140">
        <v>1.4969974963839405</v>
      </c>
      <c r="AB140">
        <v>1.9805883434062821</v>
      </c>
      <c r="AC140">
        <v>1.899999214966968</v>
      </c>
      <c r="AD140">
        <v>1.1988483314258787</v>
      </c>
      <c r="AE140">
        <v>3.5932405638786378</v>
      </c>
      <c r="AF140">
        <v>4.4868186848443514</v>
      </c>
      <c r="AG140">
        <v>2.3103780893525965</v>
      </c>
      <c r="AH140">
        <v>2.5705509820901966</v>
      </c>
      <c r="AI140">
        <v>0.36695890364228489</v>
      </c>
      <c r="AJ140">
        <v>1.9851186475971616</v>
      </c>
      <c r="AK140">
        <v>0.84632666085227015</v>
      </c>
      <c r="AL140">
        <v>-2.4446154866524239E-2</v>
      </c>
      <c r="AM140">
        <v>0.94753775512492666</v>
      </c>
      <c r="AN140">
        <v>5.8575386692163391</v>
      </c>
      <c r="AO140">
        <v>5.6050688920089158</v>
      </c>
      <c r="AP140">
        <v>5.9313983878653147</v>
      </c>
      <c r="AQ140">
        <v>3.9511660578872636</v>
      </c>
      <c r="AR140">
        <v>4.0042901441098593</v>
      </c>
      <c r="AS140">
        <v>4.2766992471427301</v>
      </c>
      <c r="AT140">
        <v>5.176234181214511</v>
      </c>
      <c r="AU140">
        <v>5.0141400732758115</v>
      </c>
      <c r="AV140">
        <v>5.056950559226479</v>
      </c>
      <c r="AW140">
        <v>6.3066776739689772</v>
      </c>
      <c r="AX140">
        <v>7.3237351784977989</v>
      </c>
      <c r="AY140">
        <v>6.8544903338626568</v>
      </c>
      <c r="AZ140">
        <v>7.2038892417771905</v>
      </c>
      <c r="BA140">
        <v>6.2950102724079926</v>
      </c>
      <c r="BB140">
        <v>3.8783026041179056</v>
      </c>
      <c r="BC140">
        <v>6.1273147737518343</v>
      </c>
      <c r="BD140">
        <v>2.882647558666477</v>
      </c>
      <c r="BE140">
        <v>2.2101553095997843</v>
      </c>
      <c r="BF140">
        <v>5.6169675488513633</v>
      </c>
      <c r="BG140">
        <v>5.5721942933899129</v>
      </c>
      <c r="BH140">
        <v>2.6639417315874141</v>
      </c>
      <c r="BI140">
        <v>3.6873440324666689</v>
      </c>
      <c r="BJ140">
        <v>4.3463513328147769</v>
      </c>
      <c r="BK140">
        <v>4.3127665848520707</v>
      </c>
      <c r="BL140">
        <v>4.777264303991771</v>
      </c>
      <c r="BM140">
        <v>-0.20030584852170819</v>
      </c>
      <c r="BN140">
        <v>2.6318879182535255</v>
      </c>
      <c r="BO140">
        <v>4.4694285155012068</v>
      </c>
    </row>
    <row r="141" spans="1:67">
      <c r="A141" t="s">
        <v>1051</v>
      </c>
      <c r="B141" t="s">
        <v>1052</v>
      </c>
      <c r="C141" t="s">
        <v>784</v>
      </c>
      <c r="D141" t="s">
        <v>785</v>
      </c>
      <c r="AA141">
        <v>1.8167372105730522</v>
      </c>
      <c r="AB141">
        <v>1.9375852748520543</v>
      </c>
      <c r="AC141">
        <v>-1.2473772547265156</v>
      </c>
      <c r="AD141">
        <v>-2.490467893862558E-2</v>
      </c>
      <c r="AE141">
        <v>3.1699139076838208</v>
      </c>
      <c r="AF141">
        <v>6.0971578795410863</v>
      </c>
      <c r="AG141">
        <v>3.3639240021211378</v>
      </c>
      <c r="AH141">
        <v>1.6086247569560186</v>
      </c>
      <c r="AI141">
        <v>-1.9107801620472884</v>
      </c>
      <c r="AJ141">
        <v>1.8979832926939082</v>
      </c>
      <c r="AK141">
        <v>1.0625863621777256</v>
      </c>
      <c r="AL141">
        <v>1.5677665777235319</v>
      </c>
      <c r="AM141">
        <v>1.8956673961966857</v>
      </c>
      <c r="AN141">
        <v>5.2030597953654194</v>
      </c>
      <c r="AO141">
        <v>5.7399262076943671</v>
      </c>
      <c r="AP141">
        <v>7.123137572875919</v>
      </c>
      <c r="AQ141">
        <v>3.8713612641953574</v>
      </c>
      <c r="AR141">
        <v>2.4924536723871569</v>
      </c>
      <c r="AS141">
        <v>3.2995371852363746</v>
      </c>
      <c r="AT141">
        <v>4.8994112390245306</v>
      </c>
      <c r="AU141">
        <v>4.3505840380982761</v>
      </c>
      <c r="AV141">
        <v>4.9932092495970579</v>
      </c>
      <c r="AW141">
        <v>6.0227762485944254</v>
      </c>
      <c r="AX141">
        <v>6.4656293307815247</v>
      </c>
      <c r="AY141">
        <v>5.9791828987363118</v>
      </c>
      <c r="AZ141">
        <v>6.0706488216425214</v>
      </c>
      <c r="BA141">
        <v>5.3413617871268713</v>
      </c>
      <c r="BB141">
        <v>3.4289699264727886</v>
      </c>
      <c r="BC141">
        <v>6.6892166922353056</v>
      </c>
      <c r="BD141">
        <v>0.34014061475188839</v>
      </c>
      <c r="BE141">
        <v>-4.5765500097774918</v>
      </c>
      <c r="BF141">
        <v>3.2797469402193258</v>
      </c>
      <c r="BG141">
        <v>4.411869758390722</v>
      </c>
      <c r="BH141">
        <v>-0.38443699436960799</v>
      </c>
      <c r="BI141">
        <v>2.1360517964949395</v>
      </c>
      <c r="BJ141">
        <v>2.8594178653360842</v>
      </c>
      <c r="BK141">
        <v>2.9441572555326587</v>
      </c>
      <c r="BL141">
        <v>3.7583231716262304</v>
      </c>
      <c r="BM141">
        <v>6.2728819960256033E-2</v>
      </c>
      <c r="BN141">
        <v>1.7989011127989443</v>
      </c>
      <c r="BO141">
        <v>3.4125052711057293</v>
      </c>
    </row>
    <row r="142" spans="1:67">
      <c r="A142" t="s">
        <v>1053</v>
      </c>
      <c r="B142" t="s">
        <v>1054</v>
      </c>
      <c r="C142" t="s">
        <v>784</v>
      </c>
      <c r="D142" t="s">
        <v>785</v>
      </c>
      <c r="P142">
        <v>1.6692220050326938</v>
      </c>
      <c r="Q142">
        <v>1.6692195638659939</v>
      </c>
      <c r="R142">
        <v>1.669225645767014</v>
      </c>
      <c r="S142">
        <v>1.6692225046974158</v>
      </c>
      <c r="T142">
        <v>1.6692322751372188</v>
      </c>
      <c r="U142">
        <v>4.7586720418916713</v>
      </c>
      <c r="V142">
        <v>4.7586770940503982</v>
      </c>
      <c r="W142">
        <v>4.758676836399971</v>
      </c>
      <c r="X142">
        <v>4.7586714785004887</v>
      </c>
      <c r="Y142">
        <v>4.75867252328473</v>
      </c>
      <c r="Z142">
        <v>4.8148202157386919</v>
      </c>
      <c r="AA142">
        <v>-1.5901068797025175</v>
      </c>
      <c r="AB142">
        <v>0.53859993923639138</v>
      </c>
      <c r="AC142">
        <v>4.2857094167711267</v>
      </c>
      <c r="AD142">
        <v>7.0205544905280277</v>
      </c>
      <c r="AE142">
        <v>3.999999999122366</v>
      </c>
      <c r="AF142">
        <v>9.2307679851700897</v>
      </c>
      <c r="AG142">
        <v>5.6337983064256036</v>
      </c>
      <c r="AH142">
        <v>4.4919853068495286</v>
      </c>
      <c r="AI142">
        <v>2.2528709690589892</v>
      </c>
      <c r="AJ142">
        <v>1.8011700759603428</v>
      </c>
      <c r="AK142">
        <v>3.6082938438715644</v>
      </c>
      <c r="AL142">
        <v>4.3321012056107406</v>
      </c>
      <c r="AM142">
        <v>6.8661441321976184</v>
      </c>
      <c r="AN142">
        <v>5.8755504001748022</v>
      </c>
      <c r="AO142">
        <v>6.9053017997363639</v>
      </c>
      <c r="AP142">
        <v>7.2251348545687506</v>
      </c>
      <c r="AQ142">
        <v>7.7612628369469121</v>
      </c>
      <c r="AR142">
        <v>10.410923201023621</v>
      </c>
      <c r="AS142">
        <v>3.2201930823960936</v>
      </c>
      <c r="AT142">
        <v>-0.73309245529799227</v>
      </c>
      <c r="AU142">
        <v>-0.99391994715929854</v>
      </c>
      <c r="AV142">
        <v>-1.937565341250135</v>
      </c>
      <c r="AW142">
        <v>3.0391721030650132</v>
      </c>
      <c r="AX142">
        <v>4.8280767774352427</v>
      </c>
      <c r="AY142">
        <v>8.6449685726728092</v>
      </c>
      <c r="AZ142">
        <v>3.3259635093690036</v>
      </c>
      <c r="BA142">
        <v>1.7980884783641073</v>
      </c>
      <c r="BB142">
        <v>-1.1574829197563616</v>
      </c>
    </row>
    <row r="143" spans="1:67">
      <c r="A143" t="s">
        <v>1055</v>
      </c>
      <c r="B143" t="s">
        <v>1056</v>
      </c>
      <c r="C143" t="s">
        <v>784</v>
      </c>
      <c r="D143" t="s">
        <v>785</v>
      </c>
      <c r="G143">
        <v>3.8180195580447531</v>
      </c>
      <c r="H143">
        <v>2.5167485942693872</v>
      </c>
      <c r="I143">
        <v>3.9064338367952303</v>
      </c>
      <c r="J143">
        <v>2.5369535357197179</v>
      </c>
      <c r="K143">
        <v>5.0237894383739672</v>
      </c>
      <c r="L143">
        <v>6.4390244203684546</v>
      </c>
      <c r="M143">
        <v>5.8010941663499551</v>
      </c>
      <c r="N143">
        <v>7.7168196618854239</v>
      </c>
      <c r="O143">
        <v>3.8466298565900985</v>
      </c>
      <c r="P143">
        <v>1.3069053965523096</v>
      </c>
      <c r="Q143">
        <v>-0.41047991109735449</v>
      </c>
      <c r="R143">
        <v>7.0573989347316086</v>
      </c>
      <c r="S143">
        <v>3.8458308363407383</v>
      </c>
      <c r="T143">
        <v>6.1262331607053255</v>
      </c>
      <c r="U143">
        <v>3.3351066917763887</v>
      </c>
      <c r="V143">
        <v>5.1005902639315508</v>
      </c>
      <c r="W143">
        <v>5.6538368577521538</v>
      </c>
      <c r="X143">
        <v>6.4035569259062157</v>
      </c>
      <c r="Y143">
        <v>5.8460265161686351</v>
      </c>
      <c r="Z143">
        <v>5.699524766614033</v>
      </c>
      <c r="AA143">
        <v>4.1414957022830379</v>
      </c>
      <c r="AB143">
        <v>4.8139909695889855</v>
      </c>
      <c r="AC143">
        <v>5.0991465579138975</v>
      </c>
      <c r="AD143">
        <v>4.9994063687125276</v>
      </c>
      <c r="AE143">
        <v>4.3555469165640943</v>
      </c>
      <c r="AF143">
        <v>1.7256106928987833</v>
      </c>
      <c r="AG143">
        <v>2.4726850377120542</v>
      </c>
      <c r="AH143">
        <v>2.2993014119800961</v>
      </c>
      <c r="AI143">
        <v>6.3999953108663448</v>
      </c>
      <c r="AJ143">
        <v>4.5999872440341818</v>
      </c>
      <c r="AK143">
        <v>4.3999912518193867</v>
      </c>
      <c r="AL143">
        <v>6.9000632514947426</v>
      </c>
      <c r="AM143">
        <v>5.5999187251016593</v>
      </c>
      <c r="AN143">
        <v>5.5000852341585045</v>
      </c>
      <c r="AO143">
        <v>3.7999672056817815</v>
      </c>
      <c r="AP143">
        <v>6.4053996957128589</v>
      </c>
      <c r="AQ143">
        <v>4.6984230477205244</v>
      </c>
      <c r="AR143">
        <v>4.3005404981337279</v>
      </c>
      <c r="AS143">
        <v>6.0000331582893409</v>
      </c>
      <c r="AT143">
        <v>-1.5454081336602599</v>
      </c>
      <c r="AU143">
        <v>3.9646756851311267</v>
      </c>
      <c r="AV143">
        <v>5.9402690780222969</v>
      </c>
      <c r="AW143">
        <v>5.4450612788535153</v>
      </c>
      <c r="AX143">
        <v>6.2417480437644741</v>
      </c>
      <c r="AY143">
        <v>7.6682919010791863</v>
      </c>
      <c r="AZ143">
        <v>6.7968261189286636</v>
      </c>
      <c r="BA143">
        <v>5.9500881447389702</v>
      </c>
      <c r="BB143">
        <v>3.5389120531784215</v>
      </c>
      <c r="BC143">
        <v>8.0159673704046384</v>
      </c>
      <c r="BD143">
        <v>8.6694830116057062</v>
      </c>
      <c r="BE143">
        <v>8.6321813802403824</v>
      </c>
      <c r="BF143">
        <v>4.0517463292691076</v>
      </c>
      <c r="BG143">
        <v>6.3779788928939922</v>
      </c>
      <c r="BH143">
        <v>4.2059554759926954</v>
      </c>
      <c r="BI143">
        <v>5.0536248925681804</v>
      </c>
      <c r="BJ143">
        <v>6.4606812707036028</v>
      </c>
      <c r="BK143">
        <v>2.3100842519216087</v>
      </c>
      <c r="BL143">
        <v>-0.22048388607261415</v>
      </c>
      <c r="BM143">
        <v>-4.6245158163371514</v>
      </c>
      <c r="BN143">
        <v>3.5122245554977809</v>
      </c>
      <c r="BO143">
        <v>-7.8239773264690626</v>
      </c>
    </row>
    <row r="144" spans="1:67">
      <c r="A144" t="s">
        <v>1057</v>
      </c>
      <c r="B144" t="s">
        <v>1058</v>
      </c>
      <c r="C144" t="s">
        <v>784</v>
      </c>
      <c r="D144" t="s">
        <v>785</v>
      </c>
      <c r="F144">
        <v>3.1983626107224126</v>
      </c>
      <c r="G144">
        <v>3.2392422200280322</v>
      </c>
      <c r="H144">
        <v>7.4332530759236022</v>
      </c>
      <c r="I144">
        <v>6.8802196923161603</v>
      </c>
      <c r="J144">
        <v>4.1803135196575028</v>
      </c>
      <c r="K144">
        <v>2.3882031713938972</v>
      </c>
      <c r="L144">
        <v>3.3471493779225483</v>
      </c>
      <c r="M144">
        <v>5.8799108791768759</v>
      </c>
      <c r="N144">
        <v>9.3590112221073838</v>
      </c>
      <c r="O144">
        <v>8.9940100364201783</v>
      </c>
      <c r="P144">
        <v>5.7982169773727037</v>
      </c>
      <c r="Q144">
        <v>5.2481894745877611</v>
      </c>
      <c r="R144">
        <v>5.1716335662497386</v>
      </c>
      <c r="S144">
        <v>5.2120284934231336</v>
      </c>
      <c r="T144">
        <v>2.6937522379876242</v>
      </c>
      <c r="U144">
        <v>8.5096375214739766</v>
      </c>
      <c r="V144">
        <v>3.7919269550892238</v>
      </c>
      <c r="W144">
        <v>0.28539784090575893</v>
      </c>
      <c r="X144">
        <v>-0.77212987150407741</v>
      </c>
      <c r="Y144">
        <v>0.37312464505502874</v>
      </c>
      <c r="Z144">
        <v>1.0750143987051928</v>
      </c>
      <c r="AA144">
        <v>5.0998958010064968</v>
      </c>
      <c r="AB144">
        <v>3.7576510377080439</v>
      </c>
      <c r="AC144">
        <v>1.3203485568884332</v>
      </c>
      <c r="AD144">
        <v>3.6904449282050109</v>
      </c>
      <c r="AE144">
        <v>1.8077056008426666</v>
      </c>
      <c r="AF144">
        <v>2.8647434492510513</v>
      </c>
      <c r="AG144">
        <v>4.5925048607469137</v>
      </c>
      <c r="AH144">
        <v>3.9528657038374604</v>
      </c>
      <c r="AI144">
        <v>4.5969784155927442</v>
      </c>
      <c r="AJ144">
        <v>2.0508387654579678</v>
      </c>
      <c r="AK144">
        <v>2.4856482412587582</v>
      </c>
      <c r="AL144">
        <v>0.60102668611459364</v>
      </c>
      <c r="AM144">
        <v>1.6325341419100283</v>
      </c>
      <c r="AN144">
        <v>4.0154656383220413</v>
      </c>
      <c r="AO144">
        <v>5.6610472896886819</v>
      </c>
      <c r="AP144">
        <v>3.3436953169529033</v>
      </c>
      <c r="AQ144">
        <v>4.0804623550390318</v>
      </c>
      <c r="AR144">
        <v>4.7866303134523207</v>
      </c>
      <c r="AS144">
        <v>4.4207070127589674</v>
      </c>
      <c r="AT144">
        <v>4.2567663568180194</v>
      </c>
      <c r="AU144">
        <v>4.9649131164513136</v>
      </c>
      <c r="AV144">
        <v>6.3439603096155679</v>
      </c>
      <c r="AW144">
        <v>6.808924262964041</v>
      </c>
      <c r="AX144">
        <v>6.2035762228819493</v>
      </c>
      <c r="AY144">
        <v>6.6202949448285011</v>
      </c>
      <c r="AZ144">
        <v>6.9456116411233921</v>
      </c>
      <c r="BA144">
        <v>4.0205453971963152</v>
      </c>
      <c r="BB144">
        <v>4.697880111319904</v>
      </c>
      <c r="BC144">
        <v>6.5976763169783652</v>
      </c>
      <c r="BD144">
        <v>4.5318478625293608</v>
      </c>
      <c r="BE144">
        <v>4.2164501060423021</v>
      </c>
      <c r="BF144">
        <v>4.8895624632093302</v>
      </c>
      <c r="BG144">
        <v>5.6252931185960762</v>
      </c>
      <c r="BH144">
        <v>5.0198216622952856</v>
      </c>
      <c r="BI144">
        <v>5.7761404795686531</v>
      </c>
      <c r="BJ144">
        <v>5.1058695810923211</v>
      </c>
      <c r="BK144">
        <v>4.7898230905177428</v>
      </c>
      <c r="BL144">
        <v>3.494270060197266</v>
      </c>
      <c r="BM144">
        <v>-3.1911735098706657</v>
      </c>
      <c r="BN144">
        <v>6.1280808160502716</v>
      </c>
      <c r="BO144">
        <v>5.2011634976749264</v>
      </c>
    </row>
    <row r="145" spans="1:67">
      <c r="A145" t="s">
        <v>1059</v>
      </c>
      <c r="B145" t="s">
        <v>1060</v>
      </c>
      <c r="C145" t="s">
        <v>784</v>
      </c>
      <c r="D145" t="s">
        <v>785</v>
      </c>
      <c r="F145">
        <v>0.97642892383250057</v>
      </c>
      <c r="G145">
        <v>3.554576787795753</v>
      </c>
      <c r="H145">
        <v>4.6693436099016168</v>
      </c>
      <c r="I145">
        <v>7.6741197465657365</v>
      </c>
      <c r="J145">
        <v>5.9285556810864364</v>
      </c>
      <c r="K145">
        <v>4.7604416023486777</v>
      </c>
      <c r="L145">
        <v>3.1770173640831274</v>
      </c>
      <c r="M145">
        <v>5.7611133765467031</v>
      </c>
      <c r="N145">
        <v>8.1273285707438703</v>
      </c>
      <c r="O145">
        <v>8.3055123482305362</v>
      </c>
      <c r="P145">
        <v>6.3562541087509743</v>
      </c>
      <c r="Q145">
        <v>6.0648828835797133</v>
      </c>
      <c r="R145">
        <v>6.9560239795155638</v>
      </c>
      <c r="S145">
        <v>5.8701835183723148</v>
      </c>
      <c r="T145">
        <v>4.3210275382830901</v>
      </c>
      <c r="U145">
        <v>6.085213817927368</v>
      </c>
      <c r="V145">
        <v>4.5552583583176016</v>
      </c>
      <c r="W145">
        <v>3.6534885910560035</v>
      </c>
      <c r="X145">
        <v>4.5200537412091251</v>
      </c>
      <c r="Y145">
        <v>4.8078338704863484</v>
      </c>
      <c r="Z145">
        <v>2.2683969939455437</v>
      </c>
      <c r="AA145">
        <v>2.84396924730774</v>
      </c>
      <c r="AB145">
        <v>1.6823173192983347</v>
      </c>
      <c r="AC145">
        <v>4.7259631966954458</v>
      </c>
      <c r="AD145">
        <v>4.367488358461415</v>
      </c>
      <c r="AE145">
        <v>3.8647775994312923</v>
      </c>
      <c r="AF145">
        <v>4.8651521990957605</v>
      </c>
      <c r="AG145">
        <v>4.10170253399167</v>
      </c>
      <c r="AH145">
        <v>3.019833806556619</v>
      </c>
      <c r="AI145">
        <v>2.0771515113153498</v>
      </c>
      <c r="AJ145">
        <v>1.5463833375260378</v>
      </c>
      <c r="AK145">
        <v>1.6615119517210246</v>
      </c>
      <c r="AL145">
        <v>3.4569153263416013</v>
      </c>
      <c r="AM145">
        <v>3.3198020542504878</v>
      </c>
      <c r="AN145">
        <v>3.8501849481562829</v>
      </c>
      <c r="AO145">
        <v>5.4398706551064322</v>
      </c>
      <c r="AP145">
        <v>5.2751403102541587</v>
      </c>
      <c r="AQ145">
        <v>2.722916541058737</v>
      </c>
      <c r="AR145">
        <v>3.796096734968728</v>
      </c>
      <c r="AS145">
        <v>5.8305503953116613</v>
      </c>
      <c r="AT145">
        <v>3.7466018759650694</v>
      </c>
      <c r="AU145">
        <v>4.7190762543194609</v>
      </c>
      <c r="AV145">
        <v>5.9678347508192502</v>
      </c>
      <c r="AW145">
        <v>7.6264315253273338</v>
      </c>
      <c r="AX145">
        <v>7.2514943000039409</v>
      </c>
      <c r="AY145">
        <v>8.1945952608554364</v>
      </c>
      <c r="AZ145">
        <v>8.8018100633138658</v>
      </c>
      <c r="BA145">
        <v>5.8603812479663731</v>
      </c>
      <c r="BB145">
        <v>3.1232316767228809</v>
      </c>
      <c r="BC145">
        <v>7.8969031883391949</v>
      </c>
      <c r="BD145">
        <v>6.2294254849531541</v>
      </c>
      <c r="BE145">
        <v>5.3501128885335163</v>
      </c>
      <c r="BF145">
        <v>5.3565260611649279</v>
      </c>
      <c r="BG145">
        <v>4.8959609518856269</v>
      </c>
      <c r="BH145">
        <v>4.3700882035165165</v>
      </c>
      <c r="BI145">
        <v>4.5175382711794185</v>
      </c>
      <c r="BJ145">
        <v>5.1468838115077347</v>
      </c>
      <c r="BK145">
        <v>4.8757513177583007</v>
      </c>
      <c r="BL145">
        <v>3.9801408270313061</v>
      </c>
      <c r="BM145">
        <v>-1.2143263610873873</v>
      </c>
      <c r="BN145">
        <v>7.1876464515012799</v>
      </c>
      <c r="BO145">
        <v>3.5635099855603016</v>
      </c>
    </row>
    <row r="146" spans="1:67">
      <c r="A146" t="s">
        <v>1061</v>
      </c>
      <c r="B146" t="s">
        <v>1062</v>
      </c>
      <c r="C146" t="s">
        <v>784</v>
      </c>
      <c r="D146" t="s">
        <v>785</v>
      </c>
      <c r="F146">
        <v>1.8647951656276547</v>
      </c>
      <c r="G146">
        <v>15.331814327258101</v>
      </c>
      <c r="H146">
        <v>10.615069994894498</v>
      </c>
      <c r="I146">
        <v>8.2511181236127413</v>
      </c>
      <c r="J146">
        <v>2.1541055684123194</v>
      </c>
      <c r="K146">
        <v>-0.40552138784264002</v>
      </c>
      <c r="L146">
        <v>10.912061516872896</v>
      </c>
      <c r="M146">
        <v>-0.36712003855377873</v>
      </c>
      <c r="N146">
        <v>1.5475366910076929</v>
      </c>
      <c r="O146">
        <v>2.1770711685562958</v>
      </c>
      <c r="P146">
        <v>5.113717713365773</v>
      </c>
      <c r="Q146">
        <v>-0.20270834665791426</v>
      </c>
      <c r="R146">
        <v>26.404881061347353</v>
      </c>
      <c r="S146">
        <v>10.980088950599878</v>
      </c>
      <c r="T146">
        <v>-13.513497558147861</v>
      </c>
      <c r="U146">
        <v>11.049129161566171</v>
      </c>
      <c r="V146">
        <v>21.809034965751124</v>
      </c>
      <c r="W146">
        <v>18.316874889719898</v>
      </c>
      <c r="X146">
        <v>2.8939187784275333</v>
      </c>
      <c r="Y146">
        <v>-2.7447792399755855</v>
      </c>
      <c r="Z146">
        <v>0.69463814404278423</v>
      </c>
      <c r="AA146">
        <v>4.4572038895705361</v>
      </c>
      <c r="AB146">
        <v>1.9861653533896231</v>
      </c>
      <c r="AC146">
        <v>5.5348978261815489</v>
      </c>
      <c r="AD146">
        <v>2.6102493302488483</v>
      </c>
      <c r="AE146">
        <v>4.6848560368771643</v>
      </c>
      <c r="AF146">
        <v>0.7297282197768169</v>
      </c>
      <c r="AG146">
        <v>8.6019190785082742</v>
      </c>
      <c r="AH146">
        <v>5.7952444076924792</v>
      </c>
      <c r="AI146">
        <v>6.0454733294344152</v>
      </c>
      <c r="AJ146">
        <v>6.9666071138826453</v>
      </c>
      <c r="AK146">
        <v>6.9563649569201544</v>
      </c>
      <c r="AL146">
        <v>3.5097664776689612</v>
      </c>
      <c r="AM146">
        <v>5.9798731275517554</v>
      </c>
      <c r="AN146">
        <v>3.2909385464140399</v>
      </c>
      <c r="AO146">
        <v>5.5970357593326412</v>
      </c>
      <c r="AP146">
        <v>3.7036035958785334</v>
      </c>
      <c r="AQ146">
        <v>1.5376556395091825</v>
      </c>
      <c r="AR146">
        <v>0.47602510206559145</v>
      </c>
      <c r="AS146">
        <v>3.8755468142555856</v>
      </c>
      <c r="AT146">
        <v>3.561582190851766</v>
      </c>
      <c r="AU146">
        <v>0.7238359614869978</v>
      </c>
      <c r="AV146">
        <v>4.559776811303891</v>
      </c>
      <c r="AW146">
        <v>1.6923742064221159</v>
      </c>
      <c r="AX146">
        <v>3.4661224814423548</v>
      </c>
      <c r="AY146">
        <v>4.2300948540934655</v>
      </c>
      <c r="AZ146">
        <v>4.1879144179963248</v>
      </c>
      <c r="BA146">
        <v>5.5234196697864633</v>
      </c>
      <c r="BB146">
        <v>-1.2537577992083158</v>
      </c>
      <c r="BC146">
        <v>5.269670780562862</v>
      </c>
      <c r="BD146">
        <v>4.616413945287519</v>
      </c>
      <c r="BE146">
        <v>6.3340837467944766</v>
      </c>
      <c r="BF146">
        <v>1.7925255557554465</v>
      </c>
      <c r="BG146">
        <v>1.710549905454755</v>
      </c>
      <c r="BH146">
        <v>3.1240667804454603</v>
      </c>
      <c r="BI146">
        <v>3.6089073168771364</v>
      </c>
      <c r="BJ146">
        <v>-3.1381749373347105</v>
      </c>
      <c r="BK146">
        <v>-1.4806331584824051</v>
      </c>
      <c r="BL146">
        <v>-1.4179938308520548</v>
      </c>
      <c r="BM146">
        <v>-7.4587170594628986</v>
      </c>
      <c r="BN146">
        <v>1.8526785210784169</v>
      </c>
      <c r="BO146">
        <v>1.1148904289143928</v>
      </c>
    </row>
    <row r="147" spans="1:67">
      <c r="A147" t="s">
        <v>1063</v>
      </c>
      <c r="B147" t="s">
        <v>1064</v>
      </c>
      <c r="C147" t="s">
        <v>784</v>
      </c>
      <c r="D147" t="s">
        <v>785</v>
      </c>
      <c r="F147">
        <v>-4.2344660503165272</v>
      </c>
      <c r="G147">
        <v>3.0079149786931652</v>
      </c>
      <c r="H147">
        <v>4.2205411163784134</v>
      </c>
      <c r="I147">
        <v>7.5351249721401103</v>
      </c>
      <c r="J147">
        <v>6.9538177828551824</v>
      </c>
      <c r="K147">
        <v>8.038897414184774</v>
      </c>
      <c r="L147">
        <v>1.6292339849577786</v>
      </c>
      <c r="M147">
        <v>5.1526660564228166</v>
      </c>
      <c r="N147">
        <v>10.184329349567165</v>
      </c>
      <c r="O147">
        <v>11.217915865642667</v>
      </c>
      <c r="P147">
        <v>8.1297760848494818</v>
      </c>
      <c r="Q147">
        <v>7.4705353506501382</v>
      </c>
      <c r="R147">
        <v>9.0890723623053447</v>
      </c>
      <c r="S147">
        <v>5.5120979317848366</v>
      </c>
      <c r="T147">
        <v>4.9302516259841269</v>
      </c>
      <c r="U147">
        <v>6.5694774899434378</v>
      </c>
      <c r="V147">
        <v>6.7857841444109397</v>
      </c>
      <c r="W147">
        <v>6.5997924262180874</v>
      </c>
      <c r="X147">
        <v>7.5658817139816108</v>
      </c>
      <c r="Y147">
        <v>8.3094304071300371</v>
      </c>
      <c r="Z147">
        <v>0.62578098340446786</v>
      </c>
      <c r="AA147">
        <v>2.2556360845988479</v>
      </c>
      <c r="AB147">
        <v>1.6701417988963954</v>
      </c>
      <c r="AC147">
        <v>7.90818869855363</v>
      </c>
      <c r="AD147">
        <v>7.5185598863892267</v>
      </c>
      <c r="AE147">
        <v>5.7611370716315662</v>
      </c>
      <c r="AF147">
        <v>6.4392524988816717</v>
      </c>
      <c r="AG147">
        <v>5.3759711369917085</v>
      </c>
      <c r="AH147">
        <v>4.4610152506407132</v>
      </c>
      <c r="AI147">
        <v>0.50341587911680108</v>
      </c>
      <c r="AJ147">
        <v>1.0609247937330792</v>
      </c>
      <c r="AK147">
        <v>0.70285028426980034</v>
      </c>
      <c r="AL147">
        <v>4.3788859852491129</v>
      </c>
      <c r="AM147">
        <v>4.4988550693012144</v>
      </c>
      <c r="AN147">
        <v>5.6532822327383485</v>
      </c>
      <c r="AO147">
        <v>5.0804569115813365</v>
      </c>
      <c r="AP147">
        <v>5.5068571249299936</v>
      </c>
      <c r="AQ147">
        <v>2.8023226396666416</v>
      </c>
      <c r="AR147">
        <v>4.6235269003048813</v>
      </c>
      <c r="AS147">
        <v>6.978182073586467</v>
      </c>
      <c r="AT147">
        <v>5.1847175355519255</v>
      </c>
      <c r="AU147">
        <v>5.9830696727666037</v>
      </c>
      <c r="AV147">
        <v>6.8209174210407184</v>
      </c>
      <c r="AW147">
        <v>8.1772449114070156</v>
      </c>
      <c r="AX147">
        <v>7.7404824324754742</v>
      </c>
      <c r="AY147">
        <v>9.2841699374553741</v>
      </c>
      <c r="AZ147">
        <v>10.2099904000452</v>
      </c>
      <c r="BA147">
        <v>6.9215431813806134</v>
      </c>
      <c r="BB147">
        <v>3.6961163127356826</v>
      </c>
      <c r="BC147">
        <v>8.0138516562463309</v>
      </c>
      <c r="BD147">
        <v>7.185265487057606</v>
      </c>
      <c r="BE147">
        <v>5.8155687778716185</v>
      </c>
      <c r="BF147">
        <v>5.6102488072414189</v>
      </c>
      <c r="BG147">
        <v>5.2258828893490232</v>
      </c>
      <c r="BH147">
        <v>4.699224154678447</v>
      </c>
      <c r="BI147">
        <v>4.4712736308881347</v>
      </c>
      <c r="BJ147">
        <v>5.3033986765104117</v>
      </c>
      <c r="BK147">
        <v>5.4233136687232815</v>
      </c>
      <c r="BL147">
        <v>4.6413875234273547</v>
      </c>
      <c r="BM147">
        <v>0.18161226016479759</v>
      </c>
      <c r="BN147">
        <v>7.4698750867316903</v>
      </c>
      <c r="BO147">
        <v>3.173811871001945</v>
      </c>
    </row>
    <row r="148" spans="1:67">
      <c r="A148" t="s">
        <v>1065</v>
      </c>
      <c r="B148" t="s">
        <v>1066</v>
      </c>
      <c r="C148" t="s">
        <v>784</v>
      </c>
      <c r="D148" t="s">
        <v>785</v>
      </c>
      <c r="AO148">
        <v>5.1584643174707168</v>
      </c>
      <c r="AP148">
        <v>8.3109215618724761</v>
      </c>
      <c r="AQ148">
        <v>7.475758724330575</v>
      </c>
      <c r="AR148">
        <v>-1.1415711562555657</v>
      </c>
      <c r="AS148">
        <v>3.6955254210777611</v>
      </c>
      <c r="AT148">
        <v>6.5261089024880619</v>
      </c>
      <c r="AU148">
        <v>6.7514145759237607</v>
      </c>
      <c r="AV148">
        <v>10.565956988761954</v>
      </c>
      <c r="AW148">
        <v>6.5694901175359348</v>
      </c>
      <c r="AX148">
        <v>7.7323676036054536</v>
      </c>
      <c r="AY148">
        <v>7.4141213354571534</v>
      </c>
      <c r="AZ148">
        <v>11.107480141050146</v>
      </c>
      <c r="BA148">
        <v>2.6144230332873235</v>
      </c>
      <c r="BB148">
        <v>-14.838608373598561</v>
      </c>
      <c r="BC148">
        <v>1.651240653283665</v>
      </c>
      <c r="BD148">
        <v>6.0390081604034407</v>
      </c>
      <c r="BE148">
        <v>3.8438647490633713</v>
      </c>
      <c r="BF148">
        <v>3.5500728427048784</v>
      </c>
      <c r="BG148">
        <v>3.5370098790161109</v>
      </c>
      <c r="BH148">
        <v>2.0245839546918205</v>
      </c>
      <c r="BI148">
        <v>2.5188282730717759</v>
      </c>
      <c r="BJ148">
        <v>4.2825969512076085</v>
      </c>
      <c r="BK148">
        <v>3.9933103279532673</v>
      </c>
      <c r="BL148">
        <v>4.6656783812234011</v>
      </c>
      <c r="BM148">
        <v>-2.4612495291677305E-2</v>
      </c>
      <c r="BN148">
        <v>6.2847100386092052</v>
      </c>
      <c r="BO148">
        <v>2.4401754649897356</v>
      </c>
    </row>
    <row r="149" spans="1:67">
      <c r="A149" t="s">
        <v>1067</v>
      </c>
      <c r="B149" t="s">
        <v>1068</v>
      </c>
      <c r="C149" t="s">
        <v>784</v>
      </c>
      <c r="D149" t="s">
        <v>785</v>
      </c>
      <c r="F149">
        <v>3.8299831217404972</v>
      </c>
      <c r="G149">
        <v>1.3586776709487651</v>
      </c>
      <c r="H149">
        <v>3.4391085403849786</v>
      </c>
      <c r="I149">
        <v>7.8658288190158743</v>
      </c>
      <c r="J149">
        <v>-0.73493360448098599</v>
      </c>
      <c r="K149">
        <v>1.1059041123590703</v>
      </c>
      <c r="L149">
        <v>0.2167308115732709</v>
      </c>
      <c r="M149">
        <v>4.1838724267902876</v>
      </c>
      <c r="N149">
        <v>9.97285794333051</v>
      </c>
      <c r="O149">
        <v>11.094452813026763</v>
      </c>
      <c r="P149">
        <v>2.6672335856773799</v>
      </c>
      <c r="Q149">
        <v>6.5981984775396398</v>
      </c>
      <c r="R149">
        <v>8.3126685679681458</v>
      </c>
      <c r="S149">
        <v>4.2124747775486071</v>
      </c>
      <c r="T149">
        <v>-6.5713729245354671</v>
      </c>
      <c r="U149">
        <v>2.5343339451280968</v>
      </c>
      <c r="V149">
        <v>1.5697714423241251</v>
      </c>
      <c r="W149">
        <v>4.0749720553770175</v>
      </c>
      <c r="X149">
        <v>2.3456114331106335</v>
      </c>
      <c r="Y149">
        <v>0.84088298433060515</v>
      </c>
      <c r="Z149">
        <v>-0.55095551966849143</v>
      </c>
      <c r="AA149">
        <v>1.1313029397002907</v>
      </c>
      <c r="AB149">
        <v>2.9890759969876513</v>
      </c>
      <c r="AC149">
        <v>6.1869370101606194</v>
      </c>
      <c r="AD149">
        <v>2.7917044649977925</v>
      </c>
      <c r="AE149">
        <v>9.9839391628032246</v>
      </c>
      <c r="AF149">
        <v>3.9509745341286191</v>
      </c>
      <c r="AG149">
        <v>8.46328294386214</v>
      </c>
      <c r="AH149">
        <v>9.7980653580934813</v>
      </c>
      <c r="AI149">
        <v>5.3199311273379521</v>
      </c>
      <c r="AJ149">
        <v>8.6441880240439701</v>
      </c>
      <c r="AK149">
        <v>1.8196524522508213</v>
      </c>
      <c r="AL149">
        <v>4.2006507033439959</v>
      </c>
      <c r="AM149">
        <v>3.8209201953931142</v>
      </c>
      <c r="AN149">
        <v>1.4321999889902912</v>
      </c>
      <c r="AO149">
        <v>1.3980744826682212</v>
      </c>
      <c r="AP149">
        <v>5.4198332943143441</v>
      </c>
      <c r="AQ149">
        <v>6.6745121896996267</v>
      </c>
      <c r="AR149">
        <v>8.1751815627631572</v>
      </c>
      <c r="AS149">
        <v>6.938130249393339</v>
      </c>
      <c r="AT149">
        <v>3.0743549992987624</v>
      </c>
      <c r="AU149">
        <v>3.2254168997207984</v>
      </c>
      <c r="AV149">
        <v>2.6193785793916504</v>
      </c>
      <c r="AW149">
        <v>4.2318913073558235</v>
      </c>
      <c r="AX149">
        <v>2.4828747481147246</v>
      </c>
      <c r="AY149">
        <v>6.0167150440274071</v>
      </c>
      <c r="AZ149">
        <v>8.0986676066054031</v>
      </c>
      <c r="BA149">
        <v>-0.30017619444267041</v>
      </c>
      <c r="BB149">
        <v>-3.2389540268318768</v>
      </c>
      <c r="BC149">
        <v>3.7604135925509468</v>
      </c>
      <c r="BD149">
        <v>1.0442986945573125</v>
      </c>
      <c r="BE149">
        <v>1.6499020297865172</v>
      </c>
      <c r="BF149">
        <v>3.1717904991600534</v>
      </c>
      <c r="BG149">
        <v>2.6230860157719178</v>
      </c>
      <c r="BH149">
        <v>2.2697844841956538</v>
      </c>
      <c r="BI149">
        <v>4.9781904368162913</v>
      </c>
      <c r="BJ149">
        <v>1.3171876629367745</v>
      </c>
      <c r="BK149">
        <v>1.219321918563594</v>
      </c>
      <c r="BL149">
        <v>2.9158479150004979</v>
      </c>
      <c r="BM149">
        <v>-0.90982979888671878</v>
      </c>
      <c r="BN149">
        <v>7.1684019869774858</v>
      </c>
      <c r="BO149">
        <v>1.3801858908320668</v>
      </c>
    </row>
    <row r="150" spans="1:67">
      <c r="A150" t="s">
        <v>1069</v>
      </c>
      <c r="B150" t="s">
        <v>1070</v>
      </c>
      <c r="C150" t="s">
        <v>784</v>
      </c>
      <c r="D150" t="s">
        <v>785</v>
      </c>
      <c r="AO150">
        <v>2.5880153308638398</v>
      </c>
      <c r="AP150">
        <v>8.8369127840025783</v>
      </c>
      <c r="AQ150">
        <v>6.3359377841259317</v>
      </c>
      <c r="AR150">
        <v>2.7561742164455012</v>
      </c>
      <c r="AS150">
        <v>5.6757413118616569</v>
      </c>
      <c r="AT150">
        <v>6.3235081588281332</v>
      </c>
      <c r="AU150">
        <v>7.0881286569100581</v>
      </c>
      <c r="AV150">
        <v>8.4228622066856929</v>
      </c>
      <c r="AW150">
        <v>8.2841459778732371</v>
      </c>
      <c r="AX150">
        <v>10.720365956564876</v>
      </c>
      <c r="AY150">
        <v>11.97183569390215</v>
      </c>
      <c r="AZ150">
        <v>9.9419216276239979</v>
      </c>
      <c r="BA150">
        <v>-3.2491207230560235</v>
      </c>
      <c r="BB150">
        <v>-14.260140037713171</v>
      </c>
      <c r="BC150">
        <v>-4.4555672599809952</v>
      </c>
      <c r="BD150">
        <v>2.5737123633337688</v>
      </c>
      <c r="BE150">
        <v>7.0422471605450738</v>
      </c>
      <c r="BF150">
        <v>2.0079668787663678</v>
      </c>
      <c r="BG150">
        <v>1.9021726838050625</v>
      </c>
      <c r="BH150">
        <v>3.8852600542676328</v>
      </c>
      <c r="BI150">
        <v>2.3686147466442264</v>
      </c>
      <c r="BJ150">
        <v>3.3124759358745877</v>
      </c>
      <c r="BK150">
        <v>3.9905192406926915</v>
      </c>
      <c r="BL150">
        <v>0.58750238349409756</v>
      </c>
      <c r="BM150">
        <v>-3.5138028419790572</v>
      </c>
      <c r="BN150">
        <v>6.7317352782466457</v>
      </c>
      <c r="BO150">
        <v>3.3584739544282343</v>
      </c>
    </row>
    <row r="151" spans="1:67">
      <c r="A151" t="s">
        <v>1071</v>
      </c>
      <c r="B151" t="s">
        <v>1072</v>
      </c>
      <c r="C151" t="s">
        <v>784</v>
      </c>
      <c r="D151" t="s">
        <v>785</v>
      </c>
      <c r="AB151">
        <v>10.023337684427048</v>
      </c>
      <c r="AC151">
        <v>8.459464317814124</v>
      </c>
      <c r="AD151">
        <v>0.73256430654997473</v>
      </c>
      <c r="AE151">
        <v>6.6932113593734641</v>
      </c>
      <c r="AF151">
        <v>14.293865465872983</v>
      </c>
      <c r="AG151">
        <v>7.8108345139310558</v>
      </c>
      <c r="AH151">
        <v>5.0247797356828272</v>
      </c>
      <c r="AI151">
        <v>7.9803143507429724</v>
      </c>
      <c r="AJ151">
        <v>3.6593978988258158</v>
      </c>
      <c r="AK151">
        <v>13.298982242473272</v>
      </c>
      <c r="AL151">
        <v>5.1858603322558707</v>
      </c>
      <c r="AM151">
        <v>4.2530573595490608</v>
      </c>
      <c r="AN151">
        <v>3.295516863175223</v>
      </c>
      <c r="AO151">
        <v>-0.41891331397759757</v>
      </c>
      <c r="AP151">
        <v>-0.27906201840976053</v>
      </c>
      <c r="AQ151">
        <v>-4.5710466961824494</v>
      </c>
      <c r="AR151">
        <v>-2.3582345629300221</v>
      </c>
      <c r="AS151">
        <v>5.7466112027540532</v>
      </c>
      <c r="AT151">
        <v>2.8884141275412389</v>
      </c>
      <c r="AU151">
        <v>8.9106055487347788</v>
      </c>
      <c r="AV151">
        <v>11.640627955362206</v>
      </c>
      <c r="AW151">
        <v>26.630342705728481</v>
      </c>
      <c r="AX151">
        <v>8.0756942474726827</v>
      </c>
      <c r="AY151">
        <v>13.390146919736367</v>
      </c>
      <c r="AZ151">
        <v>14.476741139273656</v>
      </c>
      <c r="BA151">
        <v>3.39134349083308</v>
      </c>
      <c r="BB151">
        <v>1.2744070723320249</v>
      </c>
      <c r="BC151">
        <v>25.122594559934711</v>
      </c>
      <c r="BD151">
        <v>21.616648080153979</v>
      </c>
      <c r="BE151">
        <v>9.2422649929730767</v>
      </c>
      <c r="BF151">
        <v>10.752780078986234</v>
      </c>
      <c r="BG151">
        <v>-2.0483036341509262</v>
      </c>
      <c r="BH151">
        <v>-21.514402194774082</v>
      </c>
      <c r="BI151">
        <v>-0.67902362683044259</v>
      </c>
      <c r="BJ151">
        <v>9.8600273155359019</v>
      </c>
      <c r="BK151">
        <v>6.405178494339566</v>
      </c>
      <c r="BL151">
        <v>-2.5635227320594396</v>
      </c>
      <c r="BM151">
        <v>-54.33587563936873</v>
      </c>
      <c r="BN151">
        <v>23.53556693839316</v>
      </c>
      <c r="BO151">
        <v>-21.451965505836426</v>
      </c>
    </row>
    <row r="152" spans="1:67">
      <c r="A152" t="s">
        <v>1073</v>
      </c>
      <c r="B152" t="s">
        <v>1074</v>
      </c>
      <c r="C152" t="s">
        <v>784</v>
      </c>
      <c r="D152" t="s">
        <v>785</v>
      </c>
      <c r="BH152">
        <v>1</v>
      </c>
      <c r="BI152">
        <v>5</v>
      </c>
      <c r="BJ152">
        <v>-8</v>
      </c>
      <c r="BK152">
        <v>-8</v>
      </c>
      <c r="BL152">
        <v>6.5</v>
      </c>
      <c r="BM152">
        <v>-12.5</v>
      </c>
      <c r="BN152">
        <v>4.9000000000000199</v>
      </c>
    </row>
    <row r="153" spans="1:67">
      <c r="A153" t="s">
        <v>1075</v>
      </c>
      <c r="B153" t="s">
        <v>1076</v>
      </c>
      <c r="C153" t="s">
        <v>784</v>
      </c>
      <c r="D153" t="s">
        <v>785</v>
      </c>
      <c r="L153">
        <v>10.028841359946838</v>
      </c>
      <c r="M153">
        <v>9.8917393064325267</v>
      </c>
      <c r="N153">
        <v>8.3621653566755327</v>
      </c>
      <c r="O153">
        <v>4.7134603755205831</v>
      </c>
      <c r="P153">
        <v>5.5968936591500977</v>
      </c>
      <c r="Q153">
        <v>2.4372373471505284</v>
      </c>
      <c r="R153">
        <v>3.5593108319180971</v>
      </c>
      <c r="S153">
        <v>5.596049944523557</v>
      </c>
      <c r="T153">
        <v>7.5582215613045207</v>
      </c>
      <c r="U153">
        <v>10.812781344137917</v>
      </c>
      <c r="V153">
        <v>6.0591676791649007</v>
      </c>
      <c r="W153">
        <v>2.2326633883010203</v>
      </c>
      <c r="X153">
        <v>4.7937872050955548</v>
      </c>
      <c r="Y153">
        <v>3.642164813313542</v>
      </c>
      <c r="Z153">
        <v>-1.7434349304433141</v>
      </c>
      <c r="AA153">
        <v>8.9573720226429714</v>
      </c>
      <c r="AB153">
        <v>1.3865695771861084</v>
      </c>
      <c r="AC153">
        <v>6.4183863212762304</v>
      </c>
      <c r="AD153">
        <v>6.0076520715617363</v>
      </c>
      <c r="AE153">
        <v>9.2711057694758949</v>
      </c>
      <c r="AF153">
        <v>-0.3250040757188799</v>
      </c>
      <c r="AG153">
        <v>11.875235978807822</v>
      </c>
      <c r="AH153">
        <v>2.8462025812931842</v>
      </c>
      <c r="AI153">
        <v>3.4118122263138417</v>
      </c>
      <c r="AJ153">
        <v>7.2160881536700288</v>
      </c>
      <c r="AK153">
        <v>-2.0977387540220036</v>
      </c>
      <c r="AL153">
        <v>-0.74059170033237365</v>
      </c>
      <c r="AM153">
        <v>10.588000416128622</v>
      </c>
      <c r="AN153">
        <v>-5.4054478719740189</v>
      </c>
      <c r="AO153">
        <v>12.372876270049616</v>
      </c>
      <c r="AP153">
        <v>-1.5607023455078206</v>
      </c>
      <c r="AQ153">
        <v>7.2385526769198663</v>
      </c>
      <c r="AR153">
        <v>1.6970614772565966</v>
      </c>
      <c r="AS153">
        <v>2.5821809149974655</v>
      </c>
      <c r="AT153">
        <v>7.721825195777285</v>
      </c>
      <c r="AU153">
        <v>3.730197374857454</v>
      </c>
      <c r="AV153">
        <v>6.1711021495324445</v>
      </c>
      <c r="AW153">
        <v>4.5713801651620827</v>
      </c>
      <c r="AX153">
        <v>3.1922497301583093</v>
      </c>
      <c r="AY153">
        <v>7.7908200104026974</v>
      </c>
      <c r="AZ153">
        <v>3.4410677669041831</v>
      </c>
      <c r="BA153">
        <v>5.6845393628473175</v>
      </c>
      <c r="BB153">
        <v>3.7457694013625797</v>
      </c>
      <c r="BC153">
        <v>3.4995570940321556</v>
      </c>
      <c r="BD153">
        <v>5.5246452331984699</v>
      </c>
      <c r="BE153">
        <v>3.0623436850299726</v>
      </c>
      <c r="BF153">
        <v>4.1222128686094379</v>
      </c>
      <c r="BG153">
        <v>2.7192440802028983</v>
      </c>
      <c r="BH153">
        <v>4.3445829763523847</v>
      </c>
      <c r="BI153">
        <v>0.52118550608967951</v>
      </c>
      <c r="BJ153">
        <v>5.0578981617344567</v>
      </c>
      <c r="BK153">
        <v>3.0656413302595524</v>
      </c>
      <c r="BL153">
        <v>2.8909747613707708</v>
      </c>
      <c r="BM153">
        <v>-7.1782074424677376</v>
      </c>
      <c r="BN153">
        <v>8.0209843700098844</v>
      </c>
      <c r="BO153">
        <v>1.2585439842097088</v>
      </c>
    </row>
    <row r="154" spans="1:67">
      <c r="A154" t="s">
        <v>1077</v>
      </c>
      <c r="B154" t="s">
        <v>1078</v>
      </c>
      <c r="C154" t="s">
        <v>784</v>
      </c>
      <c r="D154" t="s">
        <v>785</v>
      </c>
      <c r="P154">
        <v>5.228060023063378</v>
      </c>
      <c r="Q154">
        <v>4.6483096214373205</v>
      </c>
      <c r="R154">
        <v>6.5537575056864341</v>
      </c>
      <c r="S154">
        <v>4.4746110511306227</v>
      </c>
      <c r="T154">
        <v>-0.97263749474571171</v>
      </c>
      <c r="U154">
        <v>4.4116287846492241</v>
      </c>
      <c r="V154">
        <v>3.553236079710544</v>
      </c>
      <c r="W154">
        <v>3.9535513035134642</v>
      </c>
      <c r="X154">
        <v>3.5342049294161626</v>
      </c>
      <c r="Y154">
        <v>1.6854574337630481</v>
      </c>
      <c r="Z154">
        <v>0.92237836593504596</v>
      </c>
      <c r="AA154">
        <v>2.4323894752108544</v>
      </c>
      <c r="AB154">
        <v>1.1949733490347541</v>
      </c>
      <c r="AC154">
        <v>1.4845156308988408</v>
      </c>
      <c r="AD154">
        <v>1.7086996835429318</v>
      </c>
      <c r="AE154">
        <v>2.4523646833737303</v>
      </c>
      <c r="AF154">
        <v>2.4845741704003359</v>
      </c>
      <c r="AG154">
        <v>4.5986014753521545</v>
      </c>
      <c r="AH154">
        <v>4.1636593103913526</v>
      </c>
      <c r="AI154">
        <v>2.6434541705394849</v>
      </c>
      <c r="AJ154">
        <v>1.0151282413274316</v>
      </c>
      <c r="AK154">
        <v>1.3666396730978647</v>
      </c>
      <c r="AL154">
        <v>-0.91391880183739715</v>
      </c>
      <c r="AM154">
        <v>2.2156246895834073</v>
      </c>
      <c r="AN154">
        <v>2.1171512927233209</v>
      </c>
      <c r="AO154">
        <v>1.1107327489538079</v>
      </c>
      <c r="AP154">
        <v>2.2372487513952564</v>
      </c>
      <c r="AQ154">
        <v>3.5032652887007742</v>
      </c>
      <c r="AR154">
        <v>3.3005414611817088</v>
      </c>
      <c r="AS154">
        <v>3.9102291764120878</v>
      </c>
      <c r="AT154">
        <v>2.187734090617738</v>
      </c>
      <c r="AU154">
        <v>1.0264956389988811</v>
      </c>
      <c r="AV154">
        <v>1.0875367488713721</v>
      </c>
      <c r="AW154">
        <v>2.4704841678611587</v>
      </c>
      <c r="AX154">
        <v>1.8756796351428591</v>
      </c>
      <c r="AY154">
        <v>5.7940479325783656</v>
      </c>
      <c r="AZ154">
        <v>14.438635797859092</v>
      </c>
      <c r="BA154">
        <v>0.73961279095063048</v>
      </c>
      <c r="BB154">
        <v>-11.334484992442228</v>
      </c>
      <c r="BC154">
        <v>2.0652200384793105</v>
      </c>
      <c r="BD154">
        <v>7.0223579660693645</v>
      </c>
      <c r="BE154">
        <v>1.0122179612949083</v>
      </c>
      <c r="BF154">
        <v>9.5770979561206104</v>
      </c>
      <c r="BG154">
        <v>7.1870278980763516</v>
      </c>
      <c r="BH154">
        <v>4.8634732114333019</v>
      </c>
      <c r="BI154">
        <v>2.9641045859393245</v>
      </c>
      <c r="BJ154">
        <v>-3.0441214863806465</v>
      </c>
      <c r="BK154">
        <v>5.7803468208092568</v>
      </c>
      <c r="BL154">
        <v>7.0834606116145835</v>
      </c>
      <c r="BM154">
        <v>-13.011093502377179</v>
      </c>
      <c r="BN154">
        <v>21.867371105848065</v>
      </c>
      <c r="BO154">
        <v>11.096826274797067</v>
      </c>
    </row>
    <row r="155" spans="1:67">
      <c r="A155" t="s">
        <v>1079</v>
      </c>
      <c r="B155" t="s">
        <v>1080</v>
      </c>
      <c r="C155" t="s">
        <v>784</v>
      </c>
      <c r="D155" t="s">
        <v>785</v>
      </c>
      <c r="AO155">
        <v>-5.8770602862682324</v>
      </c>
      <c r="AP155">
        <v>1.6470645603740053</v>
      </c>
      <c r="AQ155">
        <v>-6.5421920771118209</v>
      </c>
      <c r="AR155">
        <v>-3.3682544765721758</v>
      </c>
      <c r="AS155">
        <v>2.1077160820073289</v>
      </c>
      <c r="AT155">
        <v>6.10000039929173</v>
      </c>
      <c r="AU155">
        <v>7.7999996577383257</v>
      </c>
      <c r="AV155">
        <v>6.5999999577771575</v>
      </c>
      <c r="AW155">
        <v>7.3999997335818932</v>
      </c>
      <c r="AX155">
        <v>7.5000001493725961</v>
      </c>
      <c r="AY155">
        <v>4.7999998367083094</v>
      </c>
      <c r="AZ155">
        <v>3.0000002258552456</v>
      </c>
      <c r="BA155">
        <v>7.8000001454152255</v>
      </c>
      <c r="BB155">
        <v>-6.0000002635282783</v>
      </c>
      <c r="BC155">
        <v>7.1000001070583636</v>
      </c>
      <c r="BD155">
        <v>5.8181661468482417</v>
      </c>
      <c r="BE155">
        <v>-0.58973395476257906</v>
      </c>
      <c r="BF155">
        <v>9.0438656074180983</v>
      </c>
      <c r="BG155">
        <v>4.9996258540765552</v>
      </c>
      <c r="BH155">
        <v>-0.33823562238720228</v>
      </c>
      <c r="BI155">
        <v>4.6460143625940873</v>
      </c>
      <c r="BJ155">
        <v>4.1756120510627852</v>
      </c>
      <c r="BK155">
        <v>4.0755954658503413</v>
      </c>
      <c r="BL155">
        <v>3.5523140853476036</v>
      </c>
      <c r="BM155">
        <v>-8.2759783197694929</v>
      </c>
      <c r="BN155">
        <v>13.929999788978577</v>
      </c>
      <c r="BO155">
        <v>-5.015482309387636</v>
      </c>
    </row>
    <row r="156" spans="1:67">
      <c r="A156" t="s">
        <v>1081</v>
      </c>
      <c r="B156" t="s">
        <v>1082</v>
      </c>
      <c r="C156" t="s">
        <v>784</v>
      </c>
      <c r="D156" t="s">
        <v>785</v>
      </c>
      <c r="F156">
        <v>2.0486327506124837</v>
      </c>
      <c r="G156">
        <v>2.2710697011123244</v>
      </c>
      <c r="H156">
        <v>-0.92940162279039384</v>
      </c>
      <c r="I156">
        <v>3.9625188465145698</v>
      </c>
      <c r="J156">
        <v>-0.45225386339750173</v>
      </c>
      <c r="K156">
        <v>2.0645524078982618</v>
      </c>
      <c r="L156">
        <v>5.5285656096770879</v>
      </c>
      <c r="M156">
        <v>6.8287860983492976</v>
      </c>
      <c r="N156">
        <v>3.721222168093675</v>
      </c>
      <c r="O156">
        <v>5.2764555754307736</v>
      </c>
      <c r="P156">
        <v>3.929365030783643</v>
      </c>
      <c r="Q156">
        <v>-1.2726215309689053</v>
      </c>
      <c r="R156">
        <v>-2.6184783296628495</v>
      </c>
      <c r="S156">
        <v>2.0068793796109503</v>
      </c>
      <c r="T156">
        <v>1.2586916345315444</v>
      </c>
      <c r="U156">
        <v>-3.0688583912995853</v>
      </c>
      <c r="V156">
        <v>2.3640003583404621</v>
      </c>
      <c r="W156">
        <v>-2.6618059640832143</v>
      </c>
      <c r="X156">
        <v>9.854650294431039</v>
      </c>
      <c r="Y156">
        <v>0.95270758544631917</v>
      </c>
      <c r="Z156">
        <v>-9.8000000008595265</v>
      </c>
      <c r="AA156">
        <v>-1.9000000000129944</v>
      </c>
      <c r="AB156">
        <v>0.89999999939620068</v>
      </c>
      <c r="AC156">
        <v>1.7601819429504246</v>
      </c>
      <c r="AD156">
        <v>1.15634413876586</v>
      </c>
      <c r="AE156">
        <v>1.9602248816339909</v>
      </c>
      <c r="AF156">
        <v>1.1749132610662514</v>
      </c>
      <c r="AG156">
        <v>3.4069292103673376</v>
      </c>
      <c r="AH156">
        <v>4.074880656830544</v>
      </c>
      <c r="AI156">
        <v>3.1289050504252458</v>
      </c>
      <c r="AJ156">
        <v>-6.3063515923773252</v>
      </c>
      <c r="AK156">
        <v>1.1808849482523271</v>
      </c>
      <c r="AL156">
        <v>2.0999231811086503</v>
      </c>
      <c r="AM156">
        <v>-4.2101302622072012E-2</v>
      </c>
      <c r="AN156">
        <v>1.6785923212030269</v>
      </c>
      <c r="AO156">
        <v>2.1542044717514699</v>
      </c>
      <c r="AP156">
        <v>3.6934926169178937</v>
      </c>
      <c r="AQ156">
        <v>3.9170746051681675</v>
      </c>
      <c r="AR156">
        <v>4.6992270368052118</v>
      </c>
      <c r="AS156">
        <v>4.4568589395694573</v>
      </c>
      <c r="AT156">
        <v>5.9802357698273312</v>
      </c>
      <c r="AU156">
        <v>-12.407971105514918</v>
      </c>
      <c r="AV156">
        <v>9.7848921247417451</v>
      </c>
      <c r="AW156">
        <v>5.2570036220874243</v>
      </c>
      <c r="AX156">
        <v>4.7558450949911872</v>
      </c>
      <c r="AY156">
        <v>5.398508448536802</v>
      </c>
      <c r="AZ156">
        <v>5.7105641988505198</v>
      </c>
      <c r="BA156">
        <v>6.7126325391300128</v>
      </c>
      <c r="BB156">
        <v>-3.9787086116543975</v>
      </c>
      <c r="BC156">
        <v>0.61923974462212072</v>
      </c>
      <c r="BD156">
        <v>1.5784270536655498</v>
      </c>
      <c r="BE156">
        <v>3.0111481162120839</v>
      </c>
      <c r="BF156">
        <v>2.3003762280072664</v>
      </c>
      <c r="BG156">
        <v>3.3392031119536654</v>
      </c>
      <c r="BH156">
        <v>3.1322980749030478</v>
      </c>
      <c r="BI156">
        <v>3.9931460619949917</v>
      </c>
      <c r="BJ156">
        <v>3.9333075946279337</v>
      </c>
      <c r="BK156">
        <v>3.1943565174439783</v>
      </c>
      <c r="BL156">
        <v>4.4112321290958931</v>
      </c>
      <c r="BM156">
        <v>-7.1376716206448947</v>
      </c>
      <c r="BN156">
        <v>5.7396157385433639</v>
      </c>
      <c r="BO156">
        <v>3.7961990893476951</v>
      </c>
    </row>
    <row r="157" spans="1:67">
      <c r="A157" t="s">
        <v>1083</v>
      </c>
      <c r="B157" t="s">
        <v>1084</v>
      </c>
      <c r="C157" t="s">
        <v>784</v>
      </c>
      <c r="D157" t="s">
        <v>785</v>
      </c>
      <c r="AO157">
        <v>7.8586469273005832</v>
      </c>
      <c r="AP157">
        <v>8.3979408298700662</v>
      </c>
      <c r="AQ157">
        <v>7.4946830246551741</v>
      </c>
      <c r="AR157">
        <v>6.1756558279583373</v>
      </c>
      <c r="AS157">
        <v>3.8458103920346502</v>
      </c>
      <c r="AT157">
        <v>-3.9436343541010785</v>
      </c>
      <c r="AU157">
        <v>7.2683863133168387</v>
      </c>
      <c r="AV157">
        <v>13.750049820489821</v>
      </c>
      <c r="AW157">
        <v>5.8163667560420862</v>
      </c>
      <c r="AX157">
        <v>-11.223166058035844</v>
      </c>
      <c r="AY157">
        <v>23.605798338642757</v>
      </c>
      <c r="AZ157">
        <v>7.1234274482165461</v>
      </c>
      <c r="BA157">
        <v>8.9798170205643117</v>
      </c>
      <c r="BB157">
        <v>-8.1577632263892212</v>
      </c>
      <c r="BC157">
        <v>6.8354713939672251</v>
      </c>
      <c r="BD157">
        <v>8.5726990235917668</v>
      </c>
      <c r="BE157">
        <v>2.3637475972762019</v>
      </c>
      <c r="BF157">
        <v>6.9632465355259967</v>
      </c>
      <c r="BG157">
        <v>7.8010947506405017</v>
      </c>
      <c r="BH157">
        <v>3.9717157126912213</v>
      </c>
      <c r="BI157">
        <v>6.5722361536346057</v>
      </c>
      <c r="BJ157">
        <v>7.0545389904493874</v>
      </c>
      <c r="BK157">
        <v>8.6680061970257469</v>
      </c>
      <c r="BL157">
        <v>7.2983357535947277</v>
      </c>
      <c r="BM157">
        <v>-32.908828728442501</v>
      </c>
      <c r="BN157">
        <v>37.687192265930804</v>
      </c>
      <c r="BO157">
        <v>13.906676399718748</v>
      </c>
    </row>
    <row r="158" spans="1:67">
      <c r="A158" t="s">
        <v>1085</v>
      </c>
      <c r="B158" t="s">
        <v>1086</v>
      </c>
      <c r="C158" t="s">
        <v>784</v>
      </c>
      <c r="D158" t="s">
        <v>785</v>
      </c>
      <c r="U158">
        <v>16.552273584823538</v>
      </c>
      <c r="V158">
        <v>4.69582755899755</v>
      </c>
      <c r="W158">
        <v>-4.1051552631196842</v>
      </c>
      <c r="X158">
        <v>5.2411674684911702</v>
      </c>
      <c r="Y158">
        <v>2.2768718284240492</v>
      </c>
      <c r="Z158">
        <v>1.6642480452139239</v>
      </c>
      <c r="AA158">
        <v>-3.6109185841741862</v>
      </c>
      <c r="AB158">
        <v>-2.9160694762939698</v>
      </c>
      <c r="AC158">
        <v>-0.426362072054701</v>
      </c>
      <c r="AD158">
        <v>-1.0109280178309632</v>
      </c>
      <c r="AE158">
        <v>1.0967480479410625</v>
      </c>
      <c r="AF158">
        <v>-0.58296487277532094</v>
      </c>
      <c r="AG158">
        <v>3.6194673078431236</v>
      </c>
      <c r="AH158">
        <v>2.7110125922942245</v>
      </c>
      <c r="AI158">
        <v>13.109477909108705</v>
      </c>
      <c r="AJ158">
        <v>4.1800908957330591</v>
      </c>
      <c r="AK158">
        <v>4.7295554135094591</v>
      </c>
      <c r="AL158">
        <v>2.2010413705081646</v>
      </c>
      <c r="AM158">
        <v>2.5179615790887055</v>
      </c>
      <c r="AN158">
        <v>2.81055855604491</v>
      </c>
      <c r="AO158">
        <v>5.0773030311025167</v>
      </c>
      <c r="AP158">
        <v>3.6945978376734274</v>
      </c>
      <c r="AQ158">
        <v>4.563863866041288</v>
      </c>
      <c r="AR158">
        <v>1.9960328565894656</v>
      </c>
      <c r="AS158">
        <v>6.7655507933465486</v>
      </c>
      <c r="AT158">
        <v>1.5227914638222586</v>
      </c>
      <c r="AU158">
        <v>1.5111145855729546</v>
      </c>
      <c r="AV158">
        <v>5.0784283951182658</v>
      </c>
      <c r="AW158">
        <v>7.8530832088710412</v>
      </c>
      <c r="AX158">
        <v>5.0036704831774301</v>
      </c>
      <c r="AY158">
        <v>5.854132794614614</v>
      </c>
      <c r="AZ158">
        <v>5.1966478414200168</v>
      </c>
      <c r="BA158">
        <v>4.5832804965255178</v>
      </c>
      <c r="BB158">
        <v>0.61483059625540193</v>
      </c>
      <c r="BC158">
        <v>4.9991317250024139</v>
      </c>
      <c r="BD158">
        <v>3.7383412887223244</v>
      </c>
      <c r="BE158">
        <v>4.0036728396740386</v>
      </c>
      <c r="BF158">
        <v>2.2443986211828815</v>
      </c>
      <c r="BG158">
        <v>2.8523719545867436</v>
      </c>
      <c r="BH158">
        <v>2.7458001505325882</v>
      </c>
      <c r="BI158">
        <v>4.4279303853786303</v>
      </c>
      <c r="BJ158">
        <v>1.7513400272727324</v>
      </c>
      <c r="BK158">
        <v>2.1668484365375207</v>
      </c>
      <c r="BL158">
        <v>1.1651473473234688</v>
      </c>
      <c r="BM158">
        <v>-3.7428542920446972</v>
      </c>
      <c r="BN158">
        <v>4.5527551146806786</v>
      </c>
      <c r="BO158">
        <v>5.9903863922739333</v>
      </c>
    </row>
    <row r="159" spans="1:67">
      <c r="A159" t="s">
        <v>1087</v>
      </c>
      <c r="B159" t="s">
        <v>1088</v>
      </c>
      <c r="C159" t="s">
        <v>784</v>
      </c>
      <c r="D159" t="s">
        <v>785</v>
      </c>
      <c r="F159">
        <v>5.0000000007189129</v>
      </c>
      <c r="G159">
        <v>4.6644146725129048</v>
      </c>
      <c r="H159">
        <v>8.1068869276289064</v>
      </c>
      <c r="I159">
        <v>11.905480765777071</v>
      </c>
      <c r="J159">
        <v>7.0999999974646499</v>
      </c>
      <c r="K159">
        <v>6.0961393025635431</v>
      </c>
      <c r="L159">
        <v>5.8549248789853294</v>
      </c>
      <c r="M159">
        <v>9.4232788183199716</v>
      </c>
      <c r="N159">
        <v>3.418620023500111</v>
      </c>
      <c r="O159">
        <v>6.502484034694362</v>
      </c>
      <c r="P159">
        <v>3.7624676849601855</v>
      </c>
      <c r="Q159">
        <v>8.2288073124389314</v>
      </c>
      <c r="R159">
        <v>7.8611198606498078</v>
      </c>
      <c r="S159">
        <v>5.776827230206365</v>
      </c>
      <c r="T159">
        <v>5.7444850486244121</v>
      </c>
      <c r="U159">
        <v>4.4174441362575152</v>
      </c>
      <c r="V159">
        <v>3.3906397065774314</v>
      </c>
      <c r="W159">
        <v>8.956942327863743</v>
      </c>
      <c r="X159">
        <v>9.6981701370416431</v>
      </c>
      <c r="Y159">
        <v>8.7566224258629859</v>
      </c>
      <c r="Z159">
        <v>9.5858411545499393</v>
      </c>
      <c r="AA159">
        <v>-4.9586365638603525E-2</v>
      </c>
      <c r="AB159">
        <v>-4.6241279598723111</v>
      </c>
      <c r="AC159">
        <v>3.5134133493227324</v>
      </c>
      <c r="AD159">
        <v>1.9192157861349415</v>
      </c>
      <c r="AE159">
        <v>-3.9299599078229903</v>
      </c>
      <c r="AF159">
        <v>2.0633632263158432</v>
      </c>
      <c r="AG159">
        <v>1.2182612293858597</v>
      </c>
      <c r="AH159">
        <v>3.625448734560095</v>
      </c>
      <c r="AI159">
        <v>5.2500432994458208</v>
      </c>
      <c r="AJ159">
        <v>3.9759049713804302</v>
      </c>
      <c r="AK159">
        <v>3.568613544122428</v>
      </c>
      <c r="AL159">
        <v>2.8669994546107489</v>
      </c>
      <c r="AM159">
        <v>4.3941278876416874</v>
      </c>
      <c r="AN159">
        <v>-5.9102996235828584</v>
      </c>
      <c r="AO159">
        <v>6.2182971586930194</v>
      </c>
      <c r="AP159">
        <v>7.1988761528471059</v>
      </c>
      <c r="AQ159">
        <v>6.1850789308288512</v>
      </c>
      <c r="AR159">
        <v>2.7550303930056401</v>
      </c>
      <c r="AS159">
        <v>5.029283993782613</v>
      </c>
      <c r="AT159">
        <v>-0.45084525321594526</v>
      </c>
      <c r="AU159">
        <v>-0.23658800192264096</v>
      </c>
      <c r="AV159">
        <v>1.1855448614425512</v>
      </c>
      <c r="AW159">
        <v>3.56544103201486</v>
      </c>
      <c r="AX159">
        <v>2.113247114732971</v>
      </c>
      <c r="AY159">
        <v>4.8050135219318406</v>
      </c>
      <c r="AZ159">
        <v>2.0778639394281697</v>
      </c>
      <c r="BA159">
        <v>0.94333185805228936</v>
      </c>
      <c r="BB159">
        <v>-6.2952505529131599</v>
      </c>
      <c r="BC159">
        <v>4.9713345620778995</v>
      </c>
      <c r="BD159">
        <v>3.444045078351138</v>
      </c>
      <c r="BE159">
        <v>3.5532107501490202</v>
      </c>
      <c r="BF159">
        <v>0.85210156409291926</v>
      </c>
      <c r="BG159">
        <v>2.5037635028866418</v>
      </c>
      <c r="BH159">
        <v>2.7023234255064636</v>
      </c>
      <c r="BI159">
        <v>1.7724932340810824</v>
      </c>
      <c r="BJ159">
        <v>1.8717285247588791</v>
      </c>
      <c r="BK159">
        <v>1.972082111177059</v>
      </c>
      <c r="BL159">
        <v>-0.27814878127112763</v>
      </c>
      <c r="BM159">
        <v>-8.6515868190597445</v>
      </c>
      <c r="BN159">
        <v>5.8378295230184136</v>
      </c>
      <c r="BO159">
        <v>3.8982314612612896</v>
      </c>
    </row>
    <row r="160" spans="1:67">
      <c r="A160" t="s">
        <v>1089</v>
      </c>
      <c r="B160" t="s">
        <v>1090</v>
      </c>
      <c r="C160" t="s">
        <v>784</v>
      </c>
      <c r="D160" t="s">
        <v>785</v>
      </c>
      <c r="AA160">
        <v>4.8312283715655298</v>
      </c>
      <c r="AB160">
        <v>15.508003623922932</v>
      </c>
      <c r="AC160">
        <v>3.866025876283615</v>
      </c>
      <c r="AD160">
        <v>-6.2572926389870815</v>
      </c>
      <c r="AE160">
        <v>24.54249932125667</v>
      </c>
      <c r="AF160">
        <v>9.3637537885656457</v>
      </c>
      <c r="AG160">
        <v>7.7890467671803094</v>
      </c>
      <c r="AH160">
        <v>-1.6916088111720029</v>
      </c>
      <c r="AI160">
        <v>2.6762464644583162</v>
      </c>
      <c r="AJ160">
        <v>8.7825243894968708E-2</v>
      </c>
      <c r="AK160">
        <v>7.1408586305701931</v>
      </c>
      <c r="AL160">
        <v>6.0062406674567796</v>
      </c>
      <c r="AM160">
        <v>5.8777269571841657</v>
      </c>
      <c r="AN160">
        <v>8.2132538192474414</v>
      </c>
      <c r="AO160">
        <v>-10.302946770681146</v>
      </c>
      <c r="AP160">
        <v>-6.4456627964867153</v>
      </c>
      <c r="AQ160">
        <v>-0.8193937196020471</v>
      </c>
      <c r="AR160">
        <v>-1.255142819858392</v>
      </c>
      <c r="AS160">
        <v>1.3540791088099979</v>
      </c>
      <c r="AT160">
        <v>6.826085172344861</v>
      </c>
      <c r="AU160">
        <v>3.7414521322503873</v>
      </c>
      <c r="AV160">
        <v>-1.6158759091392341</v>
      </c>
      <c r="AW160">
        <v>1.3897825086181825</v>
      </c>
      <c r="AX160">
        <v>1.7846914054853187</v>
      </c>
      <c r="AY160">
        <v>0.21961463501629908</v>
      </c>
      <c r="AZ160">
        <v>3.4162794575795203</v>
      </c>
      <c r="BA160">
        <v>-7.646274781967989</v>
      </c>
      <c r="BB160">
        <v>3.6982191648005482</v>
      </c>
      <c r="BC160">
        <v>5.4467645056673177</v>
      </c>
      <c r="BD160">
        <v>-0.21416588929274383</v>
      </c>
      <c r="BE160">
        <v>-1.3088686224227928</v>
      </c>
      <c r="BF160">
        <v>3.6104491387376498</v>
      </c>
      <c r="BG160">
        <v>-1.1575678904595605</v>
      </c>
      <c r="BH160">
        <v>2.100519332966357</v>
      </c>
      <c r="BI160">
        <v>2.1442911039237629</v>
      </c>
      <c r="BJ160">
        <v>3.7337982375794212</v>
      </c>
      <c r="BK160">
        <v>5.6592105640631303</v>
      </c>
      <c r="BL160">
        <v>10.357829451459352</v>
      </c>
      <c r="BM160">
        <v>-2.8459816613894162</v>
      </c>
      <c r="BN160">
        <v>1.1123009018157148</v>
      </c>
      <c r="BO160">
        <v>-0.6755257386497675</v>
      </c>
    </row>
    <row r="161" spans="1:67">
      <c r="A161" t="s">
        <v>1091</v>
      </c>
      <c r="B161" t="s">
        <v>1092</v>
      </c>
      <c r="C161" t="s">
        <v>784</v>
      </c>
      <c r="D161" t="s">
        <v>785</v>
      </c>
      <c r="F161">
        <v>1.1183750505233405</v>
      </c>
      <c r="G161">
        <v>3.2490028063562733</v>
      </c>
      <c r="H161">
        <v>4.8200791618023544</v>
      </c>
      <c r="I161">
        <v>7.9694792936208216</v>
      </c>
      <c r="J161">
        <v>6.0050993854433727</v>
      </c>
      <c r="K161">
        <v>4.8630035190532226</v>
      </c>
      <c r="L161">
        <v>3.223495112014902</v>
      </c>
      <c r="M161">
        <v>5.8449168327146452</v>
      </c>
      <c r="N161">
        <v>8.2032792590543551</v>
      </c>
      <c r="O161">
        <v>8.4784325873562381</v>
      </c>
      <c r="P161">
        <v>6.4162727988123436</v>
      </c>
      <c r="Q161">
        <v>6.2274150807278659</v>
      </c>
      <c r="R161">
        <v>7.1048712491485873</v>
      </c>
      <c r="S161">
        <v>5.8452296729959272</v>
      </c>
      <c r="T161">
        <v>4.3254352226958019</v>
      </c>
      <c r="U161">
        <v>6.1159771662995439</v>
      </c>
      <c r="V161">
        <v>4.5916142874288539</v>
      </c>
      <c r="W161">
        <v>3.7831169101751385</v>
      </c>
      <c r="X161">
        <v>4.6326172408316211</v>
      </c>
      <c r="Y161">
        <v>4.8548727121279427</v>
      </c>
      <c r="Z161">
        <v>2.2423713252977393</v>
      </c>
      <c r="AA161">
        <v>2.8704873189435887</v>
      </c>
      <c r="AB161">
        <v>1.6755081545924497</v>
      </c>
      <c r="AC161">
        <v>4.8857102285156202</v>
      </c>
      <c r="AD161">
        <v>4.4772385584097805</v>
      </c>
      <c r="AE161">
        <v>3.8813697193112091</v>
      </c>
      <c r="AF161">
        <v>4.8359769829832828</v>
      </c>
      <c r="AG161">
        <v>4.1187583196803388</v>
      </c>
      <c r="AH161">
        <v>3.0520783062094097</v>
      </c>
      <c r="AI161">
        <v>2.1521753744012244</v>
      </c>
      <c r="AJ161">
        <v>1.5390541673005202</v>
      </c>
      <c r="AK161">
        <v>1.6740408055299696</v>
      </c>
      <c r="AL161">
        <v>3.4964755851761993</v>
      </c>
      <c r="AM161">
        <v>3.3490479246822247</v>
      </c>
      <c r="AN161">
        <v>3.8228176655515682</v>
      </c>
      <c r="AO161">
        <v>5.4337392540550411</v>
      </c>
      <c r="AP161">
        <v>5.2372682637863619</v>
      </c>
      <c r="AQ161">
        <v>2.6989658233955538</v>
      </c>
      <c r="AR161">
        <v>3.823594467633697</v>
      </c>
      <c r="AS161">
        <v>5.8829705802353232</v>
      </c>
      <c r="AT161">
        <v>3.7230788450188328</v>
      </c>
      <c r="AU161">
        <v>4.7266805032736983</v>
      </c>
      <c r="AV161">
        <v>5.9884650820091849</v>
      </c>
      <c r="AW161">
        <v>7.6600580554188014</v>
      </c>
      <c r="AX161">
        <v>7.267722245108871</v>
      </c>
      <c r="AY161">
        <v>8.2400009782174664</v>
      </c>
      <c r="AZ161">
        <v>8.8566170703945346</v>
      </c>
      <c r="BA161">
        <v>5.8705300032351886</v>
      </c>
      <c r="BB161">
        <v>3.1169463001684363</v>
      </c>
      <c r="BC161">
        <v>7.921805971813086</v>
      </c>
      <c r="BD161">
        <v>6.3494769782802365</v>
      </c>
      <c r="BE161">
        <v>5.5410312178568688</v>
      </c>
      <c r="BF161">
        <v>5.3926394664137973</v>
      </c>
      <c r="BG161">
        <v>4.9043285326103074</v>
      </c>
      <c r="BH161">
        <v>4.4518850097274623</v>
      </c>
      <c r="BI161">
        <v>4.5566123028900876</v>
      </c>
      <c r="BJ161">
        <v>5.1835463308306942</v>
      </c>
      <c r="BK161">
        <v>4.9060260131401634</v>
      </c>
      <c r="BL161">
        <v>3.9835524521070909</v>
      </c>
      <c r="BM161">
        <v>-1.2339253264250516</v>
      </c>
      <c r="BN161">
        <v>7.2714332681532028</v>
      </c>
      <c r="BO161">
        <v>3.5656663843888907</v>
      </c>
    </row>
    <row r="162" spans="1:67">
      <c r="A162" t="s">
        <v>1093</v>
      </c>
      <c r="B162" t="s">
        <v>1094</v>
      </c>
      <c r="C162" t="s">
        <v>784</v>
      </c>
      <c r="D162" t="s">
        <v>785</v>
      </c>
      <c r="AJ162">
        <v>-6.1707676480654499</v>
      </c>
      <c r="AK162">
        <v>-6.5651986768585431</v>
      </c>
      <c r="AL162">
        <v>-7.4692713185855695</v>
      </c>
      <c r="AM162">
        <v>-1.7581661812691323</v>
      </c>
      <c r="AN162">
        <v>-1.114727694144122</v>
      </c>
      <c r="AO162">
        <v>1.1851038887323142</v>
      </c>
      <c r="AP162">
        <v>1.4399813365912451</v>
      </c>
      <c r="AQ162">
        <v>3.3787356471829639</v>
      </c>
      <c r="AR162">
        <v>4.3390279130758813</v>
      </c>
      <c r="AS162">
        <v>4.5491357828887402</v>
      </c>
      <c r="AT162">
        <v>-3.0672566245166166</v>
      </c>
      <c r="AU162">
        <v>1.4936654720292779</v>
      </c>
      <c r="AV162">
        <v>2.2226016573240912</v>
      </c>
      <c r="AW162">
        <v>4.6740895796091593</v>
      </c>
      <c r="AX162">
        <v>4.724088642019737</v>
      </c>
      <c r="AY162">
        <v>5.1370251615350497</v>
      </c>
      <c r="AZ162">
        <v>6.4734868575234685</v>
      </c>
      <c r="BA162">
        <v>5.4720013901559525</v>
      </c>
      <c r="BB162">
        <v>-0.35861485697967055</v>
      </c>
      <c r="BC162">
        <v>3.3587508577381158</v>
      </c>
      <c r="BD162">
        <v>2.3398860452033148</v>
      </c>
      <c r="BE162">
        <v>-0.45618322360793684</v>
      </c>
      <c r="BF162">
        <v>2.9252576645048407</v>
      </c>
      <c r="BG162">
        <v>3.6291235127637265</v>
      </c>
      <c r="BH162">
        <v>3.8558651404173787</v>
      </c>
      <c r="BI162">
        <v>2.8482051936330635</v>
      </c>
      <c r="BJ162">
        <v>1.0817727381324289</v>
      </c>
      <c r="BK162">
        <v>2.8805967096426741</v>
      </c>
      <c r="BL162">
        <v>3.910419538401726</v>
      </c>
      <c r="BM162">
        <v>-6.1108867110270211</v>
      </c>
      <c r="BN162">
        <v>5.506016461184899</v>
      </c>
      <c r="BO162">
        <v>2.1466564663967063</v>
      </c>
    </row>
    <row r="163" spans="1:67">
      <c r="A163" t="s">
        <v>1095</v>
      </c>
      <c r="B163" t="s">
        <v>1096</v>
      </c>
      <c r="C163" t="s">
        <v>784</v>
      </c>
      <c r="D163" t="s">
        <v>785</v>
      </c>
      <c r="M163">
        <v>3.708410196486895</v>
      </c>
      <c r="N163">
        <v>0.23099941952482084</v>
      </c>
      <c r="O163">
        <v>6.1369548625588806</v>
      </c>
      <c r="P163">
        <v>2.5689960235582845</v>
      </c>
      <c r="Q163">
        <v>5.8440164309550937</v>
      </c>
      <c r="R163">
        <v>-1.455115801929793</v>
      </c>
      <c r="S163">
        <v>-1.5288261023840022</v>
      </c>
      <c r="T163">
        <v>11.625049137451967</v>
      </c>
      <c r="U163">
        <v>13.623438533665052</v>
      </c>
      <c r="V163">
        <v>6.3486471939360456</v>
      </c>
      <c r="W163">
        <v>-1.4634763319916715</v>
      </c>
      <c r="X163">
        <v>10.395677210595707</v>
      </c>
      <c r="Y163">
        <v>-4.3258398689979032</v>
      </c>
      <c r="Z163">
        <v>1.5088042968527162</v>
      </c>
      <c r="AA163">
        <v>-7.3784330460582055</v>
      </c>
      <c r="AB163">
        <v>1.8208737723150392</v>
      </c>
      <c r="AC163">
        <v>-0.28701115619664108</v>
      </c>
      <c r="AD163">
        <v>20.286634940713071</v>
      </c>
      <c r="AE163">
        <v>2.6926208809457108</v>
      </c>
      <c r="AF163">
        <v>-0.13916428907798206</v>
      </c>
      <c r="AG163">
        <v>7.3897210443242471</v>
      </c>
      <c r="AH163">
        <v>4.177388109442532</v>
      </c>
      <c r="AI163">
        <v>-2.5023951034776104</v>
      </c>
      <c r="AJ163">
        <v>11.7452037933746</v>
      </c>
      <c r="AK163">
        <v>-3.2186624903075227</v>
      </c>
      <c r="AL163">
        <v>3.1721681773032202</v>
      </c>
      <c r="AM163">
        <v>3.7799340510106703</v>
      </c>
      <c r="AN163">
        <v>0.92102239769160121</v>
      </c>
      <c r="AO163">
        <v>7.0557854041226591</v>
      </c>
      <c r="AP163">
        <v>4.8290243393480381</v>
      </c>
      <c r="AQ163">
        <v>7.5716676399028415</v>
      </c>
      <c r="AR163">
        <v>5.7009436541914198</v>
      </c>
      <c r="AS163">
        <v>-6.0834971813122252E-2</v>
      </c>
      <c r="AT163">
        <v>15.376239457917421</v>
      </c>
      <c r="AU163">
        <v>3.1063082520568628</v>
      </c>
      <c r="AV163">
        <v>9.1190419953242952</v>
      </c>
      <c r="AW163">
        <v>1.5599986605348874</v>
      </c>
      <c r="AX163">
        <v>6.5347787748128781</v>
      </c>
      <c r="AY163">
        <v>4.662186877583224</v>
      </c>
      <c r="AZ163">
        <v>3.4936168125374394</v>
      </c>
      <c r="BA163">
        <v>4.773145081429746</v>
      </c>
      <c r="BB163">
        <v>4.8063222669786398</v>
      </c>
      <c r="BC163">
        <v>5.313935278958752</v>
      </c>
      <c r="BD163">
        <v>3.2131337804430729</v>
      </c>
      <c r="BE163">
        <v>-0.83673463153076</v>
      </c>
      <c r="BF163">
        <v>2.2950682896261725</v>
      </c>
      <c r="BG163">
        <v>7.0846838805652652</v>
      </c>
      <c r="BH163">
        <v>6.1718000242497766</v>
      </c>
      <c r="BI163">
        <v>5.8522991994141478</v>
      </c>
      <c r="BJ163">
        <v>5.3054560843816603</v>
      </c>
      <c r="BK163">
        <v>4.7464843272456108</v>
      </c>
      <c r="BL163">
        <v>4.7561608077080848</v>
      </c>
      <c r="BM163">
        <v>-1.2354504470769996</v>
      </c>
      <c r="BN163">
        <v>3.0526135694212542</v>
      </c>
      <c r="BO163">
        <v>3.7272697338321308</v>
      </c>
    </row>
    <row r="164" spans="1:67">
      <c r="A164" t="s">
        <v>1097</v>
      </c>
      <c r="B164" t="s">
        <v>1098</v>
      </c>
      <c r="C164" t="s">
        <v>784</v>
      </c>
      <c r="D164" t="s">
        <v>785</v>
      </c>
      <c r="P164">
        <v>2.4539936122782677</v>
      </c>
      <c r="Q164">
        <v>5.8383270265214691</v>
      </c>
      <c r="R164">
        <v>4.1461383732598591</v>
      </c>
      <c r="S164">
        <v>10.036403959707158</v>
      </c>
      <c r="T164">
        <v>19.560080864651439</v>
      </c>
      <c r="U164">
        <v>17.017089564801495</v>
      </c>
      <c r="V164">
        <v>12.184169801333951</v>
      </c>
      <c r="W164">
        <v>11.16115819061703</v>
      </c>
      <c r="X164">
        <v>10.490773167609461</v>
      </c>
      <c r="Y164">
        <v>7.049711214920066</v>
      </c>
      <c r="Z164">
        <v>3.3117620744265537</v>
      </c>
      <c r="AA164">
        <v>2.284452305553188</v>
      </c>
      <c r="AB164">
        <v>-0.61239011689237088</v>
      </c>
      <c r="AC164">
        <v>0.94237093547965856</v>
      </c>
      <c r="AD164">
        <v>2.5852796663822204</v>
      </c>
      <c r="AE164">
        <v>3.8851900069647201</v>
      </c>
      <c r="AF164">
        <v>4.1105144518594443</v>
      </c>
      <c r="AG164">
        <v>8.4142362957401247</v>
      </c>
      <c r="AH164">
        <v>8.1791055812399804</v>
      </c>
      <c r="AI164">
        <v>6.2913909583117089</v>
      </c>
      <c r="AJ164">
        <v>6.2564920821319276</v>
      </c>
      <c r="AK164">
        <v>4.6909324306259066</v>
      </c>
      <c r="AL164">
        <v>4.4807493588374854</v>
      </c>
      <c r="AM164">
        <v>5.6511047373604981</v>
      </c>
      <c r="AN164">
        <v>6.3424931833749696</v>
      </c>
      <c r="AO164">
        <v>3.7773357615833021</v>
      </c>
      <c r="AP164">
        <v>5.2569801449753157</v>
      </c>
      <c r="AQ164">
        <v>5.1256012305360059</v>
      </c>
      <c r="AR164">
        <v>4.7199748824220649</v>
      </c>
      <c r="AS164">
        <v>19.68126937674117</v>
      </c>
      <c r="AT164">
        <v>-1.1746966503255436</v>
      </c>
      <c r="AU164">
        <v>2.5652636837323968</v>
      </c>
      <c r="AV164">
        <v>4.0740675894993927</v>
      </c>
      <c r="AW164">
        <v>0.14026853724020327</v>
      </c>
      <c r="AX164">
        <v>3.3835937218324119</v>
      </c>
      <c r="AY164">
        <v>2.5101427649190526</v>
      </c>
      <c r="AZ164">
        <v>4.7747058021245294</v>
      </c>
      <c r="BA164">
        <v>3.8263591660248011</v>
      </c>
      <c r="BB164">
        <v>-1.1338736546004924</v>
      </c>
      <c r="BC164">
        <v>5.5436400107221999</v>
      </c>
      <c r="BD164">
        <v>0.46705056425271607</v>
      </c>
      <c r="BE164">
        <v>4.1177063760577539</v>
      </c>
      <c r="BF164">
        <v>5.4733559142289891</v>
      </c>
      <c r="BG164">
        <v>7.6335384644276019</v>
      </c>
      <c r="BH164">
        <v>9.6081323482307965</v>
      </c>
      <c r="BI164">
        <v>3.381450475867382</v>
      </c>
      <c r="BJ164">
        <v>10.869269231932591</v>
      </c>
      <c r="BK164">
        <v>7.4162698234448783</v>
      </c>
      <c r="BL164">
        <v>7.0587272892438335</v>
      </c>
      <c r="BM164">
        <v>-8.0779728714877308</v>
      </c>
      <c r="BN164">
        <v>12.297966778842977</v>
      </c>
      <c r="BO164">
        <v>6.9157921651433583</v>
      </c>
    </row>
    <row r="165" spans="1:67">
      <c r="A165" t="s">
        <v>1099</v>
      </c>
      <c r="B165" t="s">
        <v>1100</v>
      </c>
      <c r="C165" t="s">
        <v>784</v>
      </c>
      <c r="D165" t="s">
        <v>785</v>
      </c>
      <c r="F165">
        <v>0.47156108037975741</v>
      </c>
      <c r="G165">
        <v>4.0868725304389386</v>
      </c>
      <c r="H165">
        <v>13.349294925141436</v>
      </c>
      <c r="I165">
        <v>-5.8940188396451134</v>
      </c>
      <c r="J165">
        <v>10.69264951017152</v>
      </c>
      <c r="K165">
        <v>-4.8517787041822373</v>
      </c>
      <c r="L165">
        <v>-5.9252588826369106</v>
      </c>
      <c r="M165">
        <v>12.059340183653958</v>
      </c>
      <c r="N165">
        <v>3.2917411206129401</v>
      </c>
      <c r="O165">
        <v>4.979330597167575</v>
      </c>
      <c r="P165">
        <v>4.1299624445187533</v>
      </c>
      <c r="Q165">
        <v>2.4358413728682535</v>
      </c>
      <c r="R165">
        <v>-0.96812471833550262</v>
      </c>
      <c r="S165">
        <v>5.3423756894992636</v>
      </c>
      <c r="T165">
        <v>4.1527091885278367</v>
      </c>
      <c r="U165">
        <v>6.0803962292861087</v>
      </c>
      <c r="V165">
        <v>5.9522866105720738</v>
      </c>
      <c r="W165">
        <v>6.5178170231426975</v>
      </c>
      <c r="X165">
        <v>5.2012774807411262</v>
      </c>
      <c r="Y165">
        <v>7.9385380808306252</v>
      </c>
      <c r="Z165">
        <v>6.3557545919585863</v>
      </c>
      <c r="AA165">
        <v>5.6038764255663267</v>
      </c>
      <c r="AB165">
        <v>4.3910926798879757</v>
      </c>
      <c r="AC165">
        <v>4.9327280261805697</v>
      </c>
      <c r="AD165">
        <v>2.8510002386845628</v>
      </c>
      <c r="AE165">
        <v>-1.0573487569827194</v>
      </c>
      <c r="AF165">
        <v>-4.0056317860643134</v>
      </c>
      <c r="AG165">
        <v>-11.352439476817551</v>
      </c>
      <c r="AH165">
        <v>3.6952974226782658</v>
      </c>
      <c r="AI165">
        <v>2.8169332732915819</v>
      </c>
      <c r="AJ165">
        <v>-0.65061690815215911</v>
      </c>
      <c r="AK165">
        <v>9.6609424530961263</v>
      </c>
      <c r="AL165">
        <v>6.0394102267536312</v>
      </c>
      <c r="AM165">
        <v>7.4779583580384354</v>
      </c>
      <c r="AN165">
        <v>6.9480514368796378</v>
      </c>
      <c r="AO165">
        <v>6.4427153475932215</v>
      </c>
      <c r="AP165">
        <v>5.6515829629147731</v>
      </c>
      <c r="AQ165">
        <v>5.8662131529563908</v>
      </c>
      <c r="AR165">
        <v>10.945129982062895</v>
      </c>
      <c r="AS165">
        <v>13.745930556119362</v>
      </c>
      <c r="AT165">
        <v>11.343997069809177</v>
      </c>
      <c r="AU165">
        <v>12.025513434235791</v>
      </c>
      <c r="AV165">
        <v>13.8439968900081</v>
      </c>
      <c r="AW165">
        <v>13.564661616311867</v>
      </c>
      <c r="AX165">
        <v>13.568950021692899</v>
      </c>
      <c r="AY165">
        <v>13.076101379436395</v>
      </c>
      <c r="AZ165">
        <v>11.99143524011437</v>
      </c>
      <c r="BA165">
        <v>10.255305393038611</v>
      </c>
      <c r="BB165">
        <v>10.550009096081752</v>
      </c>
      <c r="BC165">
        <v>9.6344394521786967</v>
      </c>
      <c r="BD165">
        <v>5.5914823781961331</v>
      </c>
      <c r="BE165">
        <v>7.332670447154527</v>
      </c>
      <c r="BF165">
        <v>8.4260010248517858</v>
      </c>
      <c r="BG165">
        <v>7.9909155972889039</v>
      </c>
      <c r="BH165">
        <v>6.9928402902512659</v>
      </c>
      <c r="BI165">
        <v>6.0379369406066559</v>
      </c>
      <c r="BJ165">
        <v>6.1361082436030472</v>
      </c>
      <c r="BK165">
        <v>6.2688622147107509</v>
      </c>
      <c r="BL165">
        <v>6.5791100676541419</v>
      </c>
      <c r="BM165">
        <v>-9.0483469240330834</v>
      </c>
      <c r="BN165">
        <v>-12.016372145161142</v>
      </c>
      <c r="BO165">
        <v>4.0374929926418019</v>
      </c>
    </row>
    <row r="166" spans="1:67">
      <c r="A166" t="s">
        <v>1101</v>
      </c>
      <c r="B166" t="s">
        <v>1102</v>
      </c>
      <c r="C166" t="s">
        <v>784</v>
      </c>
      <c r="D166" t="s">
        <v>785</v>
      </c>
      <c r="K166">
        <v>6.6244481236222867</v>
      </c>
      <c r="L166">
        <v>8.5950495887910989</v>
      </c>
      <c r="M166">
        <v>10.515841387749617</v>
      </c>
      <c r="N166">
        <v>11.674124590918794</v>
      </c>
      <c r="O166">
        <v>8.8139414512452134</v>
      </c>
      <c r="P166">
        <v>7.9928637865814096</v>
      </c>
      <c r="Q166">
        <v>13.494370096385296</v>
      </c>
      <c r="R166">
        <v>5.6622347501797492</v>
      </c>
      <c r="S166">
        <v>6.3356751611775053</v>
      </c>
      <c r="T166">
        <v>2.8493853969787608</v>
      </c>
      <c r="U166">
        <v>15.590573956546308</v>
      </c>
      <c r="V166">
        <v>0.47980152431588863</v>
      </c>
      <c r="W166">
        <v>-3.8582574498949924</v>
      </c>
      <c r="X166">
        <v>-2.6101373976254365</v>
      </c>
      <c r="Y166">
        <v>-5.8986628380425827</v>
      </c>
      <c r="Z166">
        <v>6.7688239029067176E-2</v>
      </c>
      <c r="AA166">
        <v>12.951622812861245</v>
      </c>
      <c r="AB166">
        <v>5.3302117091476759</v>
      </c>
      <c r="AC166">
        <v>-0.14202884165860041</v>
      </c>
      <c r="AD166">
        <v>3.3629490982589232</v>
      </c>
      <c r="AE166">
        <v>-2.0237981173132482</v>
      </c>
      <c r="AF166">
        <v>1.6969388038315003</v>
      </c>
      <c r="AG166">
        <v>0.19064087399669916</v>
      </c>
      <c r="AH166">
        <v>1.9509996310449509</v>
      </c>
      <c r="AI166">
        <v>11.885338312260643</v>
      </c>
      <c r="AJ166">
        <v>-0.77274542038381355</v>
      </c>
      <c r="AK166">
        <v>5.2426671198706316</v>
      </c>
      <c r="AL166">
        <v>2.0651136838107078</v>
      </c>
      <c r="AM166">
        <v>2.1020337847558608</v>
      </c>
      <c r="AN166">
        <v>2.974148349624457</v>
      </c>
      <c r="AO166">
        <v>6.5563546661643812</v>
      </c>
      <c r="AP166">
        <v>3.8878363269391798</v>
      </c>
      <c r="AQ166">
        <v>6.7453740233559074</v>
      </c>
      <c r="AR166">
        <v>4.597235488656807</v>
      </c>
      <c r="AS166">
        <v>6.0669428653854993</v>
      </c>
      <c r="AT166">
        <v>2.7701453139185048</v>
      </c>
      <c r="AU166">
        <v>3.1306227557618769</v>
      </c>
      <c r="AV166">
        <v>2.2972669769046945</v>
      </c>
      <c r="AW166">
        <v>7.7543858227436999</v>
      </c>
      <c r="AX166">
        <v>4.5145657972974931</v>
      </c>
      <c r="AY166">
        <v>5.1738991317913872</v>
      </c>
      <c r="AZ166">
        <v>6.0927325709246674</v>
      </c>
      <c r="BA166">
        <v>3.7230640240187682</v>
      </c>
      <c r="BB166">
        <v>2.6135700046520753</v>
      </c>
      <c r="BC166">
        <v>5.2402603859679147</v>
      </c>
      <c r="BD166">
        <v>-1.0102062666546772</v>
      </c>
      <c r="BE166">
        <v>3.6828113984291235</v>
      </c>
      <c r="BF166">
        <v>0.44684795995111415</v>
      </c>
      <c r="BG166">
        <v>1.7597178396977284</v>
      </c>
      <c r="BH166">
        <v>0.74079162249000774</v>
      </c>
      <c r="BI166">
        <v>5.3429885912589867</v>
      </c>
      <c r="BJ166">
        <v>3.1245142986683163</v>
      </c>
      <c r="BK166">
        <v>1.8020651870062494</v>
      </c>
      <c r="BL166">
        <v>0.90274364423568443</v>
      </c>
      <c r="BM166">
        <v>-3.2088209608724014</v>
      </c>
      <c r="BN166">
        <v>4.3631529496794172</v>
      </c>
      <c r="BO166">
        <v>4.2358549178281208</v>
      </c>
    </row>
    <row r="167" spans="1:67">
      <c r="A167" t="s">
        <v>1103</v>
      </c>
      <c r="B167" t="s">
        <v>1104</v>
      </c>
      <c r="C167" t="s">
        <v>784</v>
      </c>
      <c r="D167" t="s">
        <v>785</v>
      </c>
      <c r="AQ167">
        <v>4.9000058463314531</v>
      </c>
      <c r="AR167">
        <v>-9.3999981243498922</v>
      </c>
      <c r="AS167">
        <v>3.10000005928039</v>
      </c>
      <c r="AT167">
        <v>1.0998387093706725</v>
      </c>
      <c r="AU167">
        <v>1.9039367333292034</v>
      </c>
      <c r="AV167">
        <v>2.4826592287848399</v>
      </c>
      <c r="AW167">
        <v>4.4260507174510195</v>
      </c>
      <c r="AX167">
        <v>4.1806045088547563</v>
      </c>
      <c r="AY167">
        <v>8.5664180296420653</v>
      </c>
      <c r="AZ167">
        <v>6.8101501252699137</v>
      </c>
      <c r="BA167">
        <v>7.2227525921252607</v>
      </c>
      <c r="BB167">
        <v>-5.795096994772436</v>
      </c>
      <c r="BC167">
        <v>2.7343310823382865</v>
      </c>
      <c r="BD167">
        <v>3.2284510206106063</v>
      </c>
      <c r="BE167">
        <v>-2.723790771306227</v>
      </c>
      <c r="BF167">
        <v>3.5489799124505765</v>
      </c>
      <c r="BG167">
        <v>1.7836985810670143</v>
      </c>
      <c r="BH167">
        <v>3.3903813971207342</v>
      </c>
      <c r="BI167">
        <v>2.949280320975106</v>
      </c>
      <c r="BJ167">
        <v>4.7164652757203385</v>
      </c>
      <c r="BK167">
        <v>5.0778888113380987</v>
      </c>
      <c r="BL167">
        <v>4.0629449916719693</v>
      </c>
      <c r="BM167">
        <v>-15.306893757040655</v>
      </c>
      <c r="BN167">
        <v>13.043464252155232</v>
      </c>
      <c r="BO167">
        <v>6.4066803287927456</v>
      </c>
    </row>
    <row r="168" spans="1:67">
      <c r="A168" t="s">
        <v>1105</v>
      </c>
      <c r="B168" t="s">
        <v>1106</v>
      </c>
      <c r="C168" t="s">
        <v>784</v>
      </c>
      <c r="D168" t="s">
        <v>785</v>
      </c>
      <c r="AA168">
        <v>8.3421361150578122</v>
      </c>
      <c r="AB168">
        <v>5.8340379544949315</v>
      </c>
      <c r="AC168">
        <v>5.9334194527009458</v>
      </c>
      <c r="AD168">
        <v>5.7128722608014186</v>
      </c>
      <c r="AE168">
        <v>9.3749945127167251</v>
      </c>
      <c r="AF168">
        <v>3.4586484713495338</v>
      </c>
      <c r="AG168">
        <v>5.1079723116501725</v>
      </c>
      <c r="AH168">
        <v>4.1781957433386196</v>
      </c>
      <c r="AI168">
        <v>-3.184460178252067</v>
      </c>
      <c r="AJ168">
        <v>-8.6935447312655754</v>
      </c>
      <c r="AK168">
        <v>-9.2564657038290363</v>
      </c>
      <c r="AL168">
        <v>-3.1687915502782431</v>
      </c>
      <c r="AM168">
        <v>2.1343826947323663</v>
      </c>
      <c r="AN168">
        <v>6.3764268864666036</v>
      </c>
      <c r="AO168">
        <v>2.2350938433866503</v>
      </c>
      <c r="AP168">
        <v>3.8967135837791886</v>
      </c>
      <c r="AQ168">
        <v>3.3399365993581682</v>
      </c>
      <c r="AR168">
        <v>3.0703690108626631</v>
      </c>
      <c r="AS168">
        <v>1.1460621370910786</v>
      </c>
      <c r="AT168">
        <v>2.9527105433811727</v>
      </c>
      <c r="AU168">
        <v>4.7329784659011125</v>
      </c>
      <c r="AV168">
        <v>7.0046345738488611</v>
      </c>
      <c r="AW168">
        <v>10.62540595993093</v>
      </c>
      <c r="AX168">
        <v>7.2536654379601515</v>
      </c>
      <c r="AY168">
        <v>8.5562348166436522</v>
      </c>
      <c r="AZ168">
        <v>10.248016359005746</v>
      </c>
      <c r="BA168">
        <v>8.9003679406755083</v>
      </c>
      <c r="BB168">
        <v>-1.2685989360828245</v>
      </c>
      <c r="BC168">
        <v>6.3651616786310967</v>
      </c>
      <c r="BD168">
        <v>17.290777586955542</v>
      </c>
      <c r="BE168">
        <v>12.319819849403203</v>
      </c>
      <c r="BF168">
        <v>11.648916187892496</v>
      </c>
      <c r="BG168">
        <v>7.8852254820476162</v>
      </c>
      <c r="BH168">
        <v>2.379835807317221</v>
      </c>
      <c r="BI168">
        <v>1.4897844867957701</v>
      </c>
      <c r="BJ168">
        <v>5.6368763869477192</v>
      </c>
      <c r="BK168">
        <v>7.7448806202488072</v>
      </c>
      <c r="BL168">
        <v>5.6022442206425467</v>
      </c>
      <c r="BM168">
        <v>-4.5577519758343072</v>
      </c>
      <c r="BN168">
        <v>1.6367695773666213</v>
      </c>
      <c r="BO168">
        <v>5.0327096366526973</v>
      </c>
    </row>
    <row r="169" spans="1:67">
      <c r="A169" t="s">
        <v>1107</v>
      </c>
      <c r="B169" t="s">
        <v>1108</v>
      </c>
      <c r="C169" t="s">
        <v>784</v>
      </c>
      <c r="D169" t="s">
        <v>785</v>
      </c>
      <c r="AV169">
        <v>0.34317089910776133</v>
      </c>
      <c r="AW169">
        <v>-3.0779753761969886</v>
      </c>
      <c r="AX169">
        <v>-12.702893436838394</v>
      </c>
      <c r="AY169">
        <v>-6.8714632174616099</v>
      </c>
      <c r="AZ169">
        <v>-6.6840277777777857</v>
      </c>
      <c r="BA169">
        <v>-11.069767441860463</v>
      </c>
      <c r="BB169">
        <v>-17.573221757322173</v>
      </c>
      <c r="BC169">
        <v>1.3959390862944048</v>
      </c>
      <c r="BD169">
        <v>-7.3842302878598218</v>
      </c>
      <c r="BE169">
        <v>0.81081081081080697</v>
      </c>
      <c r="BF169">
        <v>2.6809651474530796</v>
      </c>
      <c r="BG169">
        <v>4.1775456919060048</v>
      </c>
      <c r="BH169">
        <v>3.383458646616532</v>
      </c>
      <c r="BI169">
        <v>29.212121212121218</v>
      </c>
      <c r="BJ169">
        <v>23.170731707317074</v>
      </c>
      <c r="BK169">
        <v>-19.268849961919273</v>
      </c>
      <c r="BL169">
        <v>-11.320754716981128</v>
      </c>
      <c r="BM169">
        <v>-29.680851063829778</v>
      </c>
    </row>
    <row r="170" spans="1:67">
      <c r="A170" t="s">
        <v>1109</v>
      </c>
      <c r="B170" t="s">
        <v>1110</v>
      </c>
      <c r="C170" t="s">
        <v>784</v>
      </c>
      <c r="D170" t="s">
        <v>785</v>
      </c>
      <c r="Z170">
        <v>5.0000029544301015</v>
      </c>
      <c r="AA170">
        <v>-6.8999994422268003</v>
      </c>
      <c r="AB170">
        <v>-15.700002037115311</v>
      </c>
      <c r="AC170">
        <v>-6.4999998793611411</v>
      </c>
      <c r="AD170">
        <v>0.99999672109660764</v>
      </c>
      <c r="AE170">
        <v>-2.2999960268200539</v>
      </c>
      <c r="AF170">
        <v>14.700000423039825</v>
      </c>
      <c r="AG170">
        <v>8.1999951797304647</v>
      </c>
      <c r="AH170">
        <v>6.5000045538324116</v>
      </c>
      <c r="AI170">
        <v>0.99999283474228662</v>
      </c>
      <c r="AJ170">
        <v>4.9254512534502481</v>
      </c>
      <c r="AK170">
        <v>-7.5766472488009668</v>
      </c>
      <c r="AL170">
        <v>10.940435029727951</v>
      </c>
      <c r="AM170">
        <v>6.4401836952199432</v>
      </c>
      <c r="AN170">
        <v>2.1228938059235674</v>
      </c>
      <c r="AO170">
        <v>10.695910979771782</v>
      </c>
      <c r="AP170">
        <v>11.814945944758776</v>
      </c>
      <c r="AQ170">
        <v>10.369232497497748</v>
      </c>
      <c r="AR170">
        <v>11.81698652725504</v>
      </c>
      <c r="AS170">
        <v>0.76623495577344158</v>
      </c>
      <c r="AT170">
        <v>12.85168202077358</v>
      </c>
      <c r="AU170">
        <v>9.6685053466942747</v>
      </c>
      <c r="AV170">
        <v>7.2177008656965569</v>
      </c>
      <c r="AW170">
        <v>8.204704947885773</v>
      </c>
      <c r="AX170">
        <v>6.3120237802319252</v>
      </c>
      <c r="AY170">
        <v>9.9106775678291541</v>
      </c>
      <c r="AZ170">
        <v>7.649353937958665</v>
      </c>
      <c r="BA170">
        <v>6.8780294256099523</v>
      </c>
      <c r="BB170">
        <v>5.9289718746081519</v>
      </c>
      <c r="BC170">
        <v>6.6797293566286413</v>
      </c>
      <c r="BD170">
        <v>7.134058423004447</v>
      </c>
      <c r="BE170">
        <v>7.9945031610722026</v>
      </c>
      <c r="BF170">
        <v>6.5714138966553719</v>
      </c>
      <c r="BG170">
        <v>7.7025684483930945</v>
      </c>
      <c r="BH170">
        <v>7.3930936986376992</v>
      </c>
      <c r="BI170">
        <v>4.6969902422579537</v>
      </c>
      <c r="BJ170">
        <v>2.6382073731065816</v>
      </c>
      <c r="BK170">
        <v>3.484937316782478</v>
      </c>
      <c r="BL170">
        <v>2.317807397225863</v>
      </c>
      <c r="BM170">
        <v>-1.2195229280674624</v>
      </c>
      <c r="BN170">
        <v>2.3774324820348198</v>
      </c>
      <c r="BO170">
        <v>4.3598293369718704</v>
      </c>
    </row>
    <row r="171" spans="1:67">
      <c r="A171" t="s">
        <v>1111</v>
      </c>
      <c r="B171" t="s">
        <v>1112</v>
      </c>
      <c r="C171" t="s">
        <v>784</v>
      </c>
      <c r="D171" t="s">
        <v>785</v>
      </c>
      <c r="G171">
        <v>0.72660837864029304</v>
      </c>
      <c r="H171">
        <v>-1.9837675752010853</v>
      </c>
      <c r="I171">
        <v>27.690886351932392</v>
      </c>
      <c r="J171">
        <v>16.13833050205038</v>
      </c>
      <c r="K171">
        <v>0.23096196671465918</v>
      </c>
      <c r="L171">
        <v>3.5671328969531118</v>
      </c>
      <c r="M171">
        <v>10.19644262466808</v>
      </c>
      <c r="N171">
        <v>1.2485320891494069</v>
      </c>
      <c r="O171">
        <v>11.985931150311899</v>
      </c>
      <c r="P171">
        <v>1.8428864378673211</v>
      </c>
      <c r="Q171">
        <v>-0.7329078678789358</v>
      </c>
      <c r="R171">
        <v>-4.5847569331991878</v>
      </c>
      <c r="S171">
        <v>12.162611059057028</v>
      </c>
      <c r="T171">
        <v>-5.1343744470942312</v>
      </c>
      <c r="U171">
        <v>8.5461049302162166</v>
      </c>
      <c r="V171">
        <v>-1.8785936823511236</v>
      </c>
      <c r="W171">
        <v>-0.50471383301591288</v>
      </c>
      <c r="X171">
        <v>4.7900398376862654</v>
      </c>
      <c r="Y171">
        <v>3.3712102190242632</v>
      </c>
      <c r="Z171">
        <v>3.4502884196609784</v>
      </c>
      <c r="AA171">
        <v>-2.339924122420328</v>
      </c>
      <c r="AB171">
        <v>3.7353420271206517</v>
      </c>
      <c r="AC171">
        <v>-3.2268644524963719</v>
      </c>
      <c r="AD171">
        <v>2.9947605044289674</v>
      </c>
      <c r="AE171">
        <v>5.7135793548047928</v>
      </c>
      <c r="AF171">
        <v>1.9003841518218536</v>
      </c>
      <c r="AG171">
        <v>1.7203979762206814</v>
      </c>
      <c r="AH171">
        <v>4.7775854200110359</v>
      </c>
      <c r="AI171">
        <v>-1.7713045332743036</v>
      </c>
      <c r="AJ171">
        <v>1.7880872817851952</v>
      </c>
      <c r="AK171">
        <v>1.8741257308372496</v>
      </c>
      <c r="AL171">
        <v>5.8736374324218872</v>
      </c>
      <c r="AM171">
        <v>-3.0607322246072499</v>
      </c>
      <c r="AN171">
        <v>9.819800418884256</v>
      </c>
      <c r="AO171">
        <v>5.8188266341195458</v>
      </c>
      <c r="AP171">
        <v>-4.0446965245441788</v>
      </c>
      <c r="AQ171">
        <v>2.777804784283731</v>
      </c>
      <c r="AR171">
        <v>3.6731783232240218</v>
      </c>
      <c r="AS171">
        <v>-3.9180258792329283</v>
      </c>
      <c r="AT171">
        <v>-0.7994938157893472</v>
      </c>
      <c r="AU171">
        <v>1.3814839619905825</v>
      </c>
      <c r="AV171">
        <v>6.9282695510630248</v>
      </c>
      <c r="AW171">
        <v>4.7327579245202998</v>
      </c>
      <c r="AX171">
        <v>8.5662872490666757</v>
      </c>
      <c r="AY171">
        <v>18.333198759771349</v>
      </c>
      <c r="AZ171">
        <v>-1.9694227516076097</v>
      </c>
      <c r="BA171">
        <v>-0.33107919527837737</v>
      </c>
      <c r="BB171">
        <v>9.7875871972803452E-2</v>
      </c>
      <c r="BC171">
        <v>2.620229520553778</v>
      </c>
      <c r="BD171">
        <v>4.1727832830441827</v>
      </c>
      <c r="BE171">
        <v>4.4700131823369276</v>
      </c>
      <c r="BF171">
        <v>4.150813186271705</v>
      </c>
      <c r="BG171">
        <v>4.2748232713028358</v>
      </c>
      <c r="BH171">
        <v>5.376339236949363</v>
      </c>
      <c r="BI171">
        <v>1.2609092171336016</v>
      </c>
      <c r="BJ171">
        <v>6.2705456790429253</v>
      </c>
      <c r="BK171">
        <v>4.7721736729729827</v>
      </c>
      <c r="BL171">
        <v>3.1410048695308888</v>
      </c>
      <c r="BM171">
        <v>-0.3606573789421077</v>
      </c>
      <c r="BN171">
        <v>0.74271549963285111</v>
      </c>
      <c r="BO171">
        <v>6.3760954874157107</v>
      </c>
    </row>
    <row r="172" spans="1:67">
      <c r="A172" t="s">
        <v>1113</v>
      </c>
      <c r="B172" t="s">
        <v>1114</v>
      </c>
      <c r="C172" t="s">
        <v>784</v>
      </c>
      <c r="D172" t="s">
        <v>785</v>
      </c>
      <c r="V172">
        <v>6.5476190536367653</v>
      </c>
      <c r="W172">
        <v>3.8308060859364446</v>
      </c>
      <c r="X172">
        <v>3.5165257472368694</v>
      </c>
      <c r="Y172">
        <v>-10.061258496433481</v>
      </c>
      <c r="Z172">
        <v>5.882352900563717</v>
      </c>
      <c r="AA172">
        <v>5.4970759276589547</v>
      </c>
      <c r="AB172">
        <v>0.38379531032690295</v>
      </c>
      <c r="AC172">
        <v>4.6983857270987954</v>
      </c>
      <c r="AD172">
        <v>6.9544754616553774</v>
      </c>
      <c r="AE172">
        <v>9.74203332117483</v>
      </c>
      <c r="AF172">
        <v>8.8910398265689992</v>
      </c>
      <c r="AG172">
        <v>6.7913467481272534</v>
      </c>
      <c r="AH172">
        <v>4.4651486071005024</v>
      </c>
      <c r="AI172">
        <v>7.1867367711148518</v>
      </c>
      <c r="AJ172">
        <v>4.4354462617124852</v>
      </c>
      <c r="AK172">
        <v>6.5126985828349859</v>
      </c>
      <c r="AL172">
        <v>5.0820629557426003</v>
      </c>
      <c r="AM172">
        <v>4.1361428614554256</v>
      </c>
      <c r="AN172">
        <v>4.2877365714523847</v>
      </c>
      <c r="AO172">
        <v>5.587843926662444</v>
      </c>
      <c r="AP172">
        <v>5.6874774188663508</v>
      </c>
      <c r="AQ172">
        <v>6.0719401775621407</v>
      </c>
      <c r="AR172">
        <v>2.6109323441302621</v>
      </c>
      <c r="AS172">
        <v>8.2027917486527286</v>
      </c>
      <c r="AT172">
        <v>3.3475407273140689</v>
      </c>
      <c r="AU172">
        <v>1.6149186586243331</v>
      </c>
      <c r="AV172">
        <v>5.9254454894773119</v>
      </c>
      <c r="AW172">
        <v>4.3300198546435666</v>
      </c>
      <c r="AX172">
        <v>1.7775430203445381</v>
      </c>
      <c r="AY172">
        <v>4.8655446077552966</v>
      </c>
      <c r="AZ172">
        <v>5.7270161598166851</v>
      </c>
      <c r="BA172">
        <v>5.38696254207251</v>
      </c>
      <c r="BB172">
        <v>3.3150769979078092</v>
      </c>
      <c r="BC172">
        <v>4.3772032234429332</v>
      </c>
      <c r="BD172">
        <v>4.0775380661033296</v>
      </c>
      <c r="BE172">
        <v>3.4961183647086642</v>
      </c>
      <c r="BF172">
        <v>3.3604060997413256</v>
      </c>
      <c r="BG172">
        <v>3.8269698200933675</v>
      </c>
      <c r="BH172">
        <v>3.6905569036943291</v>
      </c>
      <c r="BI172">
        <v>3.8624682634000038</v>
      </c>
      <c r="BJ172">
        <v>3.9379838063235297</v>
      </c>
      <c r="BK172">
        <v>4.0067405719854889</v>
      </c>
      <c r="BL172">
        <v>2.8912849934651632</v>
      </c>
      <c r="BM172">
        <v>-14.546538149840444</v>
      </c>
      <c r="BN172">
        <v>3.4037986720714173</v>
      </c>
      <c r="BO172">
        <v>8.8805849078014205</v>
      </c>
    </row>
    <row r="173" spans="1:67">
      <c r="A173" t="s">
        <v>1115</v>
      </c>
      <c r="B173" t="s">
        <v>1116</v>
      </c>
      <c r="C173" t="s">
        <v>784</v>
      </c>
      <c r="D173" t="s">
        <v>785</v>
      </c>
      <c r="F173">
        <v>7.6395978558321644</v>
      </c>
      <c r="G173">
        <v>0.66836474365297249</v>
      </c>
      <c r="H173">
        <v>-1.3910785179961209</v>
      </c>
      <c r="I173">
        <v>2.6611032679594331</v>
      </c>
      <c r="J173">
        <v>13.616493420406471</v>
      </c>
      <c r="K173">
        <v>13.249036322303894</v>
      </c>
      <c r="L173">
        <v>7.2815499434309601</v>
      </c>
      <c r="M173">
        <v>-1.9230791677632482</v>
      </c>
      <c r="N173">
        <v>5.8823598926810945</v>
      </c>
      <c r="O173">
        <v>0.47929797751611147</v>
      </c>
      <c r="P173">
        <v>16.218563634389255</v>
      </c>
      <c r="Q173">
        <v>6.231349010588886</v>
      </c>
      <c r="R173">
        <v>2.300661570688618</v>
      </c>
      <c r="S173">
        <v>7.1759636181824504</v>
      </c>
      <c r="T173">
        <v>6.0868238062938218</v>
      </c>
      <c r="U173">
        <v>4.9977312423161493</v>
      </c>
      <c r="V173">
        <v>4.9180313685280481</v>
      </c>
      <c r="W173">
        <v>9.7450680305518915</v>
      </c>
      <c r="X173">
        <v>4.3961537359030132</v>
      </c>
      <c r="Y173">
        <v>0.40674641253832533</v>
      </c>
      <c r="Z173">
        <v>-5.2901192767418337</v>
      </c>
      <c r="AA173">
        <v>2.5034537498070222</v>
      </c>
      <c r="AB173">
        <v>3.7187091508651235</v>
      </c>
      <c r="AC173">
        <v>5.3603040260157968</v>
      </c>
      <c r="AD173">
        <v>4.5709820131340422</v>
      </c>
      <c r="AE173">
        <v>-0.21480240126579986</v>
      </c>
      <c r="AF173">
        <v>1.6252392930869064</v>
      </c>
      <c r="AG173">
        <v>3.1772914000816286</v>
      </c>
      <c r="AH173">
        <v>1.3446895092507702</v>
      </c>
      <c r="AI173">
        <v>5.6922946340404366</v>
      </c>
      <c r="AJ173">
        <v>8.7302317604122806</v>
      </c>
      <c r="AK173">
        <v>-7.3329783346883204</v>
      </c>
      <c r="AL173">
        <v>9.691840592890145</v>
      </c>
      <c r="AM173">
        <v>-10.240181711927207</v>
      </c>
      <c r="AN173">
        <v>16.728817302649063</v>
      </c>
      <c r="AO173">
        <v>7.3166817812022629</v>
      </c>
      <c r="AP173">
        <v>3.7924190927118815</v>
      </c>
      <c r="AQ173">
        <v>3.8952535056509419</v>
      </c>
      <c r="AR173">
        <v>3.0422781363704559</v>
      </c>
      <c r="AS173">
        <v>1.5760776240766603</v>
      </c>
      <c r="AT173">
        <v>-4.9749636170102747</v>
      </c>
      <c r="AU173">
        <v>1.7000000294894022</v>
      </c>
      <c r="AV173">
        <v>5.7056394066278244</v>
      </c>
      <c r="AW173">
        <v>5.4204975488737546</v>
      </c>
      <c r="AX173">
        <v>3.2687260214452181</v>
      </c>
      <c r="AY173">
        <v>4.6999997652809213</v>
      </c>
      <c r="AZ173">
        <v>9.599999876267205</v>
      </c>
      <c r="BA173">
        <v>7.6397363993359448</v>
      </c>
      <c r="BB173">
        <v>8.3281098521430721</v>
      </c>
      <c r="BC173">
        <v>6.874065854015825</v>
      </c>
      <c r="BD173">
        <v>4.9326699984588913</v>
      </c>
      <c r="BE173">
        <v>1.9000000007214766</v>
      </c>
      <c r="BF173">
        <v>5.410349999498294</v>
      </c>
      <c r="BG173">
        <v>5.6252699997921809</v>
      </c>
      <c r="BH173">
        <v>2.800000001255043</v>
      </c>
      <c r="BI173">
        <v>2.4999999990207016</v>
      </c>
      <c r="BJ173">
        <v>4.0000000003821583</v>
      </c>
      <c r="BK173">
        <v>4.391688296098863</v>
      </c>
      <c r="BL173">
        <v>5.4481813361728655</v>
      </c>
      <c r="BM173">
        <v>0.79999833090272432</v>
      </c>
      <c r="BN173">
        <v>2.7514026088752814</v>
      </c>
      <c r="BO173">
        <v>0.92343629010748884</v>
      </c>
    </row>
    <row r="174" spans="1:67">
      <c r="A174" t="s">
        <v>1117</v>
      </c>
      <c r="B174" t="s">
        <v>1118</v>
      </c>
      <c r="C174" t="s">
        <v>784</v>
      </c>
      <c r="D174" t="s">
        <v>785</v>
      </c>
      <c r="F174">
        <v>7.5979940002828101</v>
      </c>
      <c r="G174">
        <v>6.4210296090431171</v>
      </c>
      <c r="H174">
        <v>7.3388035268233409</v>
      </c>
      <c r="I174">
        <v>5.3589629097105558</v>
      </c>
      <c r="J174">
        <v>7.6848634746731932</v>
      </c>
      <c r="K174">
        <v>7.8167110261881874</v>
      </c>
      <c r="L174">
        <v>3.8571464916198295</v>
      </c>
      <c r="M174">
        <v>7.9779946420117369</v>
      </c>
      <c r="N174">
        <v>4.888533652561236</v>
      </c>
      <c r="O174">
        <v>5.9865386303198562</v>
      </c>
      <c r="P174">
        <v>10.034660580343797</v>
      </c>
      <c r="Q174">
        <v>9.3884449909896119</v>
      </c>
      <c r="R174">
        <v>11.701081611994539</v>
      </c>
      <c r="S174">
        <v>8.3186619736197827</v>
      </c>
      <c r="T174">
        <v>0.8010680921923381</v>
      </c>
      <c r="U174">
        <v>11.563489777254603</v>
      </c>
      <c r="V174">
        <v>7.7530583803399793</v>
      </c>
      <c r="W174">
        <v>6.6538922150046318</v>
      </c>
      <c r="X174">
        <v>9.3490999307592801</v>
      </c>
      <c r="Y174">
        <v>7.4418267793440691</v>
      </c>
      <c r="Z174">
        <v>6.9421042011817349</v>
      </c>
      <c r="AA174">
        <v>5.9431524580101751</v>
      </c>
      <c r="AB174">
        <v>6.2522308109267328</v>
      </c>
      <c r="AC174">
        <v>7.7617901221888275</v>
      </c>
      <c r="AD174">
        <v>-1.0252502534207082</v>
      </c>
      <c r="AE174">
        <v>1.2405949275068764</v>
      </c>
      <c r="AF174">
        <v>5.1919321127270166</v>
      </c>
      <c r="AG174">
        <v>9.9377196765198903</v>
      </c>
      <c r="AH174">
        <v>9.0596008665042973</v>
      </c>
      <c r="AI174">
        <v>9.0085271377462846</v>
      </c>
      <c r="AJ174">
        <v>9.5454674144305187</v>
      </c>
      <c r="AK174">
        <v>8.8851179783215599</v>
      </c>
      <c r="AL174">
        <v>9.8949433337706409</v>
      </c>
      <c r="AM174">
        <v>9.2120417933486749</v>
      </c>
      <c r="AN174">
        <v>9.8290851973081175</v>
      </c>
      <c r="AO174">
        <v>10.002700686184411</v>
      </c>
      <c r="AP174">
        <v>7.3227418503592361</v>
      </c>
      <c r="AQ174">
        <v>-7.3594151881755607</v>
      </c>
      <c r="AR174">
        <v>6.1376120105769161</v>
      </c>
      <c r="AS174">
        <v>8.8588681696938636</v>
      </c>
      <c r="AT174">
        <v>0.51767531919286114</v>
      </c>
      <c r="AU174">
        <v>5.3909883069279658</v>
      </c>
      <c r="AV174">
        <v>5.7884992858874966</v>
      </c>
      <c r="AW174">
        <v>6.7834377237030452</v>
      </c>
      <c r="AX174">
        <v>5.3321391614148581</v>
      </c>
      <c r="AY174">
        <v>5.5848470671515003</v>
      </c>
      <c r="AZ174">
        <v>6.2987859274094689</v>
      </c>
      <c r="BA174">
        <v>4.8317698891309675</v>
      </c>
      <c r="BB174">
        <v>-1.5135287159871353</v>
      </c>
      <c r="BC174">
        <v>7.4248473832609676</v>
      </c>
      <c r="BD174">
        <v>5.2939128341400306</v>
      </c>
      <c r="BE174">
        <v>5.4734541925385258</v>
      </c>
      <c r="BF174">
        <v>4.6937225255789343</v>
      </c>
      <c r="BG174">
        <v>6.0067219455820293</v>
      </c>
      <c r="BH174">
        <v>5.091532421550113</v>
      </c>
      <c r="BI174">
        <v>4.4497813976154106</v>
      </c>
      <c r="BJ174">
        <v>5.8127224098332846</v>
      </c>
      <c r="BK174">
        <v>4.8430869763488147</v>
      </c>
      <c r="BL174">
        <v>4.4131874212958593</v>
      </c>
      <c r="BM174">
        <v>-5.4568465842670122</v>
      </c>
      <c r="BN174">
        <v>3.2976410083183794</v>
      </c>
      <c r="BO174">
        <v>8.6503442237228825</v>
      </c>
    </row>
    <row r="175" spans="1:67">
      <c r="A175" t="s">
        <v>1119</v>
      </c>
      <c r="B175" t="s">
        <v>1120</v>
      </c>
      <c r="C175" t="s">
        <v>784</v>
      </c>
      <c r="D175" t="s">
        <v>785</v>
      </c>
      <c r="F175">
        <v>2.3603212404387648</v>
      </c>
      <c r="G175">
        <v>6.1909095168588806</v>
      </c>
      <c r="H175">
        <v>4.4649159529095357</v>
      </c>
      <c r="I175">
        <v>5.8618171714203555</v>
      </c>
      <c r="J175">
        <v>6.3933202407759921</v>
      </c>
      <c r="K175">
        <v>6.5181478459298319</v>
      </c>
      <c r="L175">
        <v>2.5473437193485324</v>
      </c>
      <c r="M175">
        <v>4.8125377638537685</v>
      </c>
      <c r="N175">
        <v>3.2395776420348028</v>
      </c>
      <c r="O175">
        <v>0.58960448179263381</v>
      </c>
      <c r="P175">
        <v>3.3521390225688492</v>
      </c>
      <c r="Q175">
        <v>5.2782191981429349</v>
      </c>
      <c r="R175">
        <v>5.7318713621698549</v>
      </c>
      <c r="S175">
        <v>-0.21860078915459269</v>
      </c>
      <c r="T175">
        <v>-5.393419840805791E-2</v>
      </c>
      <c r="U175">
        <v>5.4335290160654353</v>
      </c>
      <c r="V175">
        <v>4.5299971894400528</v>
      </c>
      <c r="W175">
        <v>5.3777632392639561</v>
      </c>
      <c r="X175">
        <v>3.2130612326084105</v>
      </c>
      <c r="Y175">
        <v>-4.458338893810776E-2</v>
      </c>
      <c r="Z175">
        <v>2.6141648368557071</v>
      </c>
      <c r="AA175">
        <v>-1.9247801884978486</v>
      </c>
      <c r="AB175">
        <v>4.4069675723613386</v>
      </c>
      <c r="AC175">
        <v>7.1188058630462052</v>
      </c>
      <c r="AD175">
        <v>4.2143451346212686</v>
      </c>
      <c r="AE175">
        <v>3.3505771390468055</v>
      </c>
      <c r="AF175">
        <v>3.5106963245688405</v>
      </c>
      <c r="AG175">
        <v>4.1966775566275771</v>
      </c>
      <c r="AH175">
        <v>3.558399350157913</v>
      </c>
      <c r="AI175">
        <v>1.7447771318708192</v>
      </c>
      <c r="AJ175">
        <v>-0.27266623913672561</v>
      </c>
      <c r="AK175">
        <v>3.3086710834475497</v>
      </c>
      <c r="AL175">
        <v>2.7444923990975951</v>
      </c>
      <c r="AM175">
        <v>4.0638364955763961</v>
      </c>
      <c r="AN175">
        <v>2.6848139136126861</v>
      </c>
      <c r="AO175">
        <v>3.6075275052618991</v>
      </c>
      <c r="AP175">
        <v>4.4342992212730508</v>
      </c>
      <c r="AQ175">
        <v>4.4355991345387906</v>
      </c>
      <c r="AR175">
        <v>4.8205571735852288</v>
      </c>
      <c r="AS175">
        <v>4.1613696904962012</v>
      </c>
      <c r="AT175">
        <v>1.0289337065620288</v>
      </c>
      <c r="AU175">
        <v>1.7968531154643301</v>
      </c>
      <c r="AV175">
        <v>2.717781957022126</v>
      </c>
      <c r="AW175">
        <v>3.7919225785188075</v>
      </c>
      <c r="AX175">
        <v>3.4610340977923642</v>
      </c>
      <c r="AY175">
        <v>2.7727464505576336</v>
      </c>
      <c r="AZ175">
        <v>2.014200346241779</v>
      </c>
      <c r="BA175">
        <v>0.18938097146903488</v>
      </c>
      <c r="BB175">
        <v>-2.6260733713099</v>
      </c>
      <c r="BC175">
        <v>2.7364781591964658</v>
      </c>
      <c r="BD175">
        <v>1.672546568970418</v>
      </c>
      <c r="BE175">
        <v>2.2357355607709053</v>
      </c>
      <c r="BF175">
        <v>1.8795321032758068</v>
      </c>
      <c r="BG175">
        <v>2.3323291862348441</v>
      </c>
      <c r="BH175">
        <v>2.5407579931107307</v>
      </c>
      <c r="BI175">
        <v>1.6171720249636792</v>
      </c>
      <c r="BJ175">
        <v>2.3043674626589592</v>
      </c>
      <c r="BK175">
        <v>2.9282992334503462</v>
      </c>
      <c r="BL175">
        <v>2.26341855426422</v>
      </c>
      <c r="BM175">
        <v>-2.947156811598461</v>
      </c>
      <c r="BN175">
        <v>5.8940600764526323</v>
      </c>
      <c r="BO175">
        <v>2.0796924636798764</v>
      </c>
    </row>
    <row r="176" spans="1:67">
      <c r="A176" t="s">
        <v>1121</v>
      </c>
      <c r="B176" t="s">
        <v>1122</v>
      </c>
      <c r="C176" t="s">
        <v>784</v>
      </c>
      <c r="D176" t="s">
        <v>785</v>
      </c>
      <c r="Z176">
        <v>0.97144950015074016</v>
      </c>
      <c r="AA176">
        <v>-0.39809074411238043</v>
      </c>
      <c r="AB176">
        <v>-1.8234503749055904</v>
      </c>
      <c r="AC176">
        <v>-0.23689152504525168</v>
      </c>
      <c r="AD176">
        <v>0.46417126180340063</v>
      </c>
      <c r="AE176">
        <v>4.767269666328275</v>
      </c>
      <c r="AF176">
        <v>3.5537691411760477</v>
      </c>
      <c r="AG176">
        <v>0.81314894282111538</v>
      </c>
      <c r="AH176">
        <v>1.8586749623072905</v>
      </c>
      <c r="AI176">
        <v>2.0474599398943241</v>
      </c>
      <c r="AJ176">
        <v>8.1656125026277948</v>
      </c>
      <c r="AK176">
        <v>7.1893425228052479</v>
      </c>
      <c r="AL176">
        <v>-1.5795391591690304</v>
      </c>
      <c r="AM176">
        <v>1.7298794884707434</v>
      </c>
      <c r="AN176">
        <v>3.8990142211042951</v>
      </c>
      <c r="AO176">
        <v>3.1913243011146903</v>
      </c>
      <c r="AP176">
        <v>4.2201003038447595</v>
      </c>
      <c r="AQ176">
        <v>3.2915856206481777</v>
      </c>
      <c r="AR176">
        <v>3.3692784244549756</v>
      </c>
      <c r="AS176">
        <v>3.4921833636517761</v>
      </c>
      <c r="AT176">
        <v>1.1779486946791735</v>
      </c>
      <c r="AU176">
        <v>4.7886612188211046</v>
      </c>
      <c r="AV176">
        <v>4.239794295821369</v>
      </c>
      <c r="AW176">
        <v>12.269548103676883</v>
      </c>
      <c r="AX176">
        <v>2.5292626581902198</v>
      </c>
      <c r="AY176">
        <v>7.0731753184582544</v>
      </c>
      <c r="AZ176">
        <v>5.374044151676344</v>
      </c>
      <c r="BA176">
        <v>2.6498120378026755</v>
      </c>
      <c r="BB176">
        <v>0.29597091400108866</v>
      </c>
      <c r="BC176">
        <v>6.0392494795585776</v>
      </c>
      <c r="BD176">
        <v>5.0913381386433798</v>
      </c>
      <c r="BE176">
        <v>5.0616820696264</v>
      </c>
      <c r="BF176">
        <v>5.6147196225448539</v>
      </c>
      <c r="BG176">
        <v>6.092519159779556</v>
      </c>
      <c r="BH176">
        <v>4.2641745376367481</v>
      </c>
      <c r="BI176">
        <v>3.3794450206329429E-2</v>
      </c>
      <c r="BJ176">
        <v>-1.0272508270177383</v>
      </c>
      <c r="BK176">
        <v>1.0599434707292801</v>
      </c>
      <c r="BL176">
        <v>-0.83915468616973499</v>
      </c>
      <c r="BM176">
        <v>-8.1014007457625041</v>
      </c>
      <c r="BN176">
        <v>3.5246579814642445</v>
      </c>
      <c r="BO176">
        <v>7.5627790202731546</v>
      </c>
    </row>
    <row r="177" spans="1:67">
      <c r="A177" t="s">
        <v>1123</v>
      </c>
      <c r="B177" t="s">
        <v>1124</v>
      </c>
      <c r="C177" t="s">
        <v>784</v>
      </c>
      <c r="D177" t="s">
        <v>785</v>
      </c>
      <c r="K177">
        <v>-3.8485777011772768</v>
      </c>
      <c r="L177">
        <v>5.4007914425069856</v>
      </c>
      <c r="M177">
        <v>14.262554689016312</v>
      </c>
      <c r="N177">
        <v>15.716313385864396</v>
      </c>
      <c r="O177">
        <v>30.999289731945822</v>
      </c>
      <c r="P177">
        <v>6.9992156760698947</v>
      </c>
      <c r="Q177">
        <v>3.3984995462724896</v>
      </c>
      <c r="R177">
        <v>-11.199308627722473</v>
      </c>
      <c r="S177">
        <v>12.701115202272888</v>
      </c>
      <c r="T177">
        <v>6.4994718046191196</v>
      </c>
      <c r="U177">
        <v>2.299998213756794</v>
      </c>
      <c r="V177">
        <v>1.8998242817421556</v>
      </c>
      <c r="W177">
        <v>9.8000071958715722</v>
      </c>
      <c r="X177">
        <v>-13.600005070034385</v>
      </c>
      <c r="Y177">
        <v>-0.39999455233315473</v>
      </c>
      <c r="Z177">
        <v>-6.9999993701246694</v>
      </c>
      <c r="AA177">
        <v>2.3999924884235355</v>
      </c>
      <c r="AB177">
        <v>-1.9999975695876486</v>
      </c>
      <c r="AC177">
        <v>1.7999992389876098</v>
      </c>
      <c r="AD177">
        <v>4.5000004968434268</v>
      </c>
      <c r="AE177">
        <v>-1.0000034956538428</v>
      </c>
      <c r="AF177">
        <v>5.7000027455239604</v>
      </c>
      <c r="AG177">
        <v>34.600000652670701</v>
      </c>
      <c r="AH177">
        <v>10.999999473252032</v>
      </c>
      <c r="AI177">
        <v>3.6000012717431957</v>
      </c>
      <c r="AJ177">
        <v>4.900028143842448</v>
      </c>
      <c r="AK177">
        <v>0.51999483839222194</v>
      </c>
      <c r="AL177">
        <v>0.52979465453711327</v>
      </c>
      <c r="AM177">
        <v>2.5901869056366849</v>
      </c>
      <c r="AN177">
        <v>5.9400311023841965</v>
      </c>
      <c r="AO177">
        <v>0.44987908350562122</v>
      </c>
      <c r="AP177">
        <v>2.0071523304286103</v>
      </c>
      <c r="AQ177">
        <v>-3.2002755272662142</v>
      </c>
      <c r="AR177">
        <v>0.90017251917349483</v>
      </c>
      <c r="AS177">
        <v>2.1001088268880466</v>
      </c>
      <c r="BK177">
        <v>3.9957072820387936</v>
      </c>
      <c r="BL177">
        <v>-1.4000000019845089</v>
      </c>
      <c r="BM177">
        <v>-2.40000000064407</v>
      </c>
      <c r="BN177">
        <v>-2.0999999976284869</v>
      </c>
      <c r="BO177">
        <v>3.4999999999999858</v>
      </c>
    </row>
    <row r="178" spans="1:67">
      <c r="A178" t="s">
        <v>1125</v>
      </c>
      <c r="B178" t="s">
        <v>1126</v>
      </c>
      <c r="C178" t="s">
        <v>784</v>
      </c>
      <c r="D178" t="s">
        <v>785</v>
      </c>
      <c r="F178">
        <v>4.5463930366017138</v>
      </c>
      <c r="G178">
        <v>10.278713498899677</v>
      </c>
      <c r="H178">
        <v>9.4282293200083274</v>
      </c>
      <c r="I178">
        <v>0.13103989108526548</v>
      </c>
      <c r="J178">
        <v>6.9197618176104072</v>
      </c>
      <c r="K178">
        <v>-0.38249719922025349</v>
      </c>
      <c r="L178">
        <v>0.1228686718162777</v>
      </c>
      <c r="M178">
        <v>0.38349466307356295</v>
      </c>
      <c r="N178">
        <v>-5.4859458133163201</v>
      </c>
      <c r="O178">
        <v>3.0557789220214744</v>
      </c>
      <c r="P178">
        <v>5.679320640483752</v>
      </c>
      <c r="Q178">
        <v>-5.1662723027692294</v>
      </c>
      <c r="R178">
        <v>-17.047583571920981</v>
      </c>
      <c r="S178">
        <v>8.7752380493631108</v>
      </c>
      <c r="T178">
        <v>-2.7931934359911423</v>
      </c>
      <c r="U178">
        <v>0.67820340230791487</v>
      </c>
      <c r="V178">
        <v>7.7645811193599314</v>
      </c>
      <c r="W178">
        <v>13.472612330141061</v>
      </c>
      <c r="X178">
        <v>7.1469960702447537</v>
      </c>
      <c r="Y178">
        <v>-2.4550361285750739</v>
      </c>
      <c r="Z178">
        <v>-0.17766607122605649</v>
      </c>
      <c r="AA178">
        <v>2.174460219733291</v>
      </c>
      <c r="AB178">
        <v>-3.8636279071415345</v>
      </c>
      <c r="AC178">
        <v>-16.819835113663729</v>
      </c>
      <c r="AD178">
        <v>7.7181274502118811</v>
      </c>
      <c r="AE178">
        <v>6.3521373029146844</v>
      </c>
      <c r="AF178">
        <v>8.8281359723339392E-2</v>
      </c>
      <c r="AG178">
        <v>6.8711501367136947</v>
      </c>
      <c r="AH178">
        <v>0.95704597254847101</v>
      </c>
      <c r="AI178">
        <v>-1.3084782848195857</v>
      </c>
      <c r="AJ178">
        <v>-0.43948910045781986</v>
      </c>
      <c r="AK178">
        <v>2.0007523614285105</v>
      </c>
      <c r="AL178">
        <v>0.32165547443278797</v>
      </c>
      <c r="AM178">
        <v>1.8547787910116824</v>
      </c>
      <c r="AN178">
        <v>2.457244122315501</v>
      </c>
      <c r="AO178">
        <v>0.10053050428140864</v>
      </c>
      <c r="AP178">
        <v>1.5274757105066641</v>
      </c>
      <c r="AQ178">
        <v>9.9726149564244366</v>
      </c>
      <c r="AR178">
        <v>-0.21956251791660009</v>
      </c>
      <c r="AS178">
        <v>-1.2084777410057512</v>
      </c>
      <c r="AT178">
        <v>7.2681349021323456</v>
      </c>
      <c r="AU178">
        <v>4.9184705759462162</v>
      </c>
      <c r="AV178">
        <v>2.1706103837418027</v>
      </c>
      <c r="AW178">
        <v>0.36380157872213204</v>
      </c>
      <c r="AX178">
        <v>7.3318688425851661</v>
      </c>
      <c r="AY178">
        <v>5.9310499735034199</v>
      </c>
      <c r="AZ178">
        <v>3.1427240838673072</v>
      </c>
      <c r="BA178">
        <v>7.7314142277733708</v>
      </c>
      <c r="BB178">
        <v>1.9626009069464487</v>
      </c>
      <c r="BC178">
        <v>8.5781667426225283</v>
      </c>
      <c r="BD178">
        <v>2.35775693603874</v>
      </c>
      <c r="BE178">
        <v>10.54894457634461</v>
      </c>
      <c r="BF178">
        <v>5.3151306339472626</v>
      </c>
      <c r="BG178">
        <v>6.6421366549560332</v>
      </c>
      <c r="BH178">
        <v>4.3926488320729078</v>
      </c>
      <c r="BI178">
        <v>5.7408931505815701</v>
      </c>
      <c r="BJ178">
        <v>5.0053607854595157</v>
      </c>
      <c r="BK178">
        <v>7.2114180287024254</v>
      </c>
      <c r="BL178">
        <v>5.9398525707046446</v>
      </c>
      <c r="BM178">
        <v>3.5506410938493218</v>
      </c>
      <c r="BN178">
        <v>1.383596362020171</v>
      </c>
      <c r="BO178">
        <v>11.489690622874775</v>
      </c>
    </row>
    <row r="179" spans="1:67">
      <c r="A179" t="s">
        <v>1127</v>
      </c>
      <c r="B179" t="s">
        <v>1128</v>
      </c>
      <c r="C179" t="s">
        <v>784</v>
      </c>
      <c r="D179" t="s">
        <v>785</v>
      </c>
      <c r="F179">
        <v>0.19179548957242787</v>
      </c>
      <c r="G179">
        <v>4.1029925886798537</v>
      </c>
      <c r="H179">
        <v>8.5786189152970707</v>
      </c>
      <c r="I179">
        <v>4.9504886660415508</v>
      </c>
      <c r="J179">
        <v>4.8849768341290059</v>
      </c>
      <c r="K179">
        <v>-4.2505141841549516</v>
      </c>
      <c r="L179">
        <v>-15.743628208205095</v>
      </c>
      <c r="M179">
        <v>-1.2483602458120231</v>
      </c>
      <c r="N179">
        <v>24.197383945680599</v>
      </c>
      <c r="O179">
        <v>25.007241929389565</v>
      </c>
      <c r="P179">
        <v>14.237531556250957</v>
      </c>
      <c r="Q179">
        <v>3.3642620350363472</v>
      </c>
      <c r="R179">
        <v>5.3927604839590941</v>
      </c>
      <c r="S179">
        <v>11.160674545486145</v>
      </c>
      <c r="T179">
        <v>-5.2277475553208319</v>
      </c>
      <c r="U179">
        <v>9.0423517263021154</v>
      </c>
      <c r="V179">
        <v>6.0241178495416676</v>
      </c>
      <c r="W179">
        <v>-5.7641583939028465</v>
      </c>
      <c r="X179">
        <v>6.7594309351917587</v>
      </c>
      <c r="Y179">
        <v>4.2048310442729644</v>
      </c>
      <c r="Z179">
        <v>-13.12788048505135</v>
      </c>
      <c r="AA179">
        <v>-6.8033888153481286</v>
      </c>
      <c r="AB179">
        <v>-10.924085033938681</v>
      </c>
      <c r="AC179">
        <v>-1.1156232171682348</v>
      </c>
      <c r="AD179">
        <v>5.9130274591138345</v>
      </c>
      <c r="AE179">
        <v>6.0945274206787303E-2</v>
      </c>
      <c r="AF179">
        <v>3.2001254670293946</v>
      </c>
      <c r="AG179">
        <v>7.3340254875871977</v>
      </c>
      <c r="AH179">
        <v>1.9193812958954197</v>
      </c>
      <c r="AI179">
        <v>11.776885934206945</v>
      </c>
      <c r="AJ179">
        <v>0.35835260166014393</v>
      </c>
      <c r="AK179">
        <v>4.6311929460769221</v>
      </c>
      <c r="AL179">
        <v>-2.035118773991357</v>
      </c>
      <c r="AM179">
        <v>-1.814924485256725</v>
      </c>
      <c r="AN179">
        <v>-7.2664763937879684E-2</v>
      </c>
      <c r="AO179">
        <v>4.1959240466010783</v>
      </c>
      <c r="AP179">
        <v>2.9370994192489945</v>
      </c>
      <c r="AQ179">
        <v>2.5812541019293462</v>
      </c>
      <c r="AR179">
        <v>0.58412689291891695</v>
      </c>
      <c r="AS179">
        <v>5.0159347593115911</v>
      </c>
      <c r="AT179">
        <v>5.9176846492036788</v>
      </c>
      <c r="AU179">
        <v>15.32915574095594</v>
      </c>
      <c r="AV179">
        <v>7.3471949679948523</v>
      </c>
      <c r="AW179">
        <v>9.25055822917993</v>
      </c>
      <c r="AX179">
        <v>6.4385165253831929</v>
      </c>
      <c r="AY179">
        <v>6.0594280320291176</v>
      </c>
      <c r="AZ179">
        <v>6.5911303606873446</v>
      </c>
      <c r="BA179">
        <v>6.7644727778017</v>
      </c>
      <c r="BB179">
        <v>8.0369251009906719</v>
      </c>
      <c r="BC179">
        <v>8.0056559162864573</v>
      </c>
      <c r="BD179">
        <v>5.3079242028951228</v>
      </c>
      <c r="BE179">
        <v>4.2300611749316772</v>
      </c>
      <c r="BF179">
        <v>6.6713353930617245</v>
      </c>
      <c r="BG179">
        <v>6.3097186552546702</v>
      </c>
      <c r="BH179">
        <v>2.6526932954300264</v>
      </c>
      <c r="BI179">
        <v>-1.6168689490652923</v>
      </c>
      <c r="BJ179">
        <v>0.80588661910221049</v>
      </c>
      <c r="BK179">
        <v>1.9227573420065056</v>
      </c>
      <c r="BL179">
        <v>2.2084292771488094</v>
      </c>
      <c r="BM179">
        <v>-1.7942530827445751</v>
      </c>
      <c r="BN179">
        <v>3.6471865407244621</v>
      </c>
      <c r="BO179">
        <v>3.251681408270926</v>
      </c>
    </row>
    <row r="180" spans="1:67">
      <c r="A180" t="s">
        <v>1129</v>
      </c>
      <c r="B180" t="s">
        <v>1130</v>
      </c>
      <c r="C180" t="s">
        <v>784</v>
      </c>
      <c r="D180" t="s">
        <v>785</v>
      </c>
      <c r="F180">
        <v>7.4977433984909823</v>
      </c>
      <c r="G180">
        <v>10.890798329097777</v>
      </c>
      <c r="H180">
        <v>10.865479245782112</v>
      </c>
      <c r="I180">
        <v>11.698479030154502</v>
      </c>
      <c r="J180">
        <v>9.5251558262479818</v>
      </c>
      <c r="K180">
        <v>3.3011363985888238</v>
      </c>
      <c r="L180">
        <v>6.9695138247681143</v>
      </c>
      <c r="M180">
        <v>1.3429600526567214</v>
      </c>
      <c r="N180">
        <v>6.2377039083323353</v>
      </c>
      <c r="O180">
        <v>1.3538265901273689</v>
      </c>
      <c r="P180">
        <v>3.30475650020486</v>
      </c>
      <c r="Q180">
        <v>2.2207228918106523</v>
      </c>
      <c r="R180">
        <v>6.4170139736610565</v>
      </c>
      <c r="S180">
        <v>14.192425095304358</v>
      </c>
      <c r="T180">
        <v>-0.15324689434270056</v>
      </c>
      <c r="U180">
        <v>5.2094544984769584</v>
      </c>
      <c r="V180">
        <v>8.3684805302991236</v>
      </c>
      <c r="W180">
        <v>-7.8388003706421046</v>
      </c>
      <c r="X180">
        <v>-26.478788867521146</v>
      </c>
      <c r="Y180">
        <v>4.6117322795338254</v>
      </c>
      <c r="Z180">
        <v>5.3632901893812885</v>
      </c>
      <c r="AA180">
        <v>-0.81636191874349606</v>
      </c>
      <c r="AB180">
        <v>4.6132116270050147</v>
      </c>
      <c r="AC180">
        <v>-1.566093913197335</v>
      </c>
      <c r="AD180">
        <v>-4.0818514873193124</v>
      </c>
      <c r="AE180">
        <v>-1.0173091612009699</v>
      </c>
      <c r="AF180">
        <v>-0.7063529415000005</v>
      </c>
      <c r="AG180">
        <v>-12.449822036712405</v>
      </c>
      <c r="AH180">
        <v>-1.7382163305212401</v>
      </c>
      <c r="AI180">
        <v>-5.2499721268773669E-2</v>
      </c>
      <c r="AJ180">
        <v>-0.18928149951814532</v>
      </c>
      <c r="AK180">
        <v>0.38634653738137104</v>
      </c>
      <c r="AL180">
        <v>-0.39293593132420312</v>
      </c>
      <c r="AM180">
        <v>3.3377259970967259</v>
      </c>
      <c r="AN180">
        <v>5.911907957145047</v>
      </c>
      <c r="AO180">
        <v>6.3442683853953952</v>
      </c>
      <c r="AP180">
        <v>3.9666509765892641</v>
      </c>
      <c r="AQ180">
        <v>3.7116814653749515</v>
      </c>
      <c r="AR180">
        <v>7.0359704684684488</v>
      </c>
      <c r="AS180">
        <v>4.1015902359822292</v>
      </c>
      <c r="AT180">
        <v>2.9608434272423665</v>
      </c>
      <c r="AU180">
        <v>0.75393885752600909</v>
      </c>
      <c r="AV180">
        <v>2.5207328923667376</v>
      </c>
      <c r="AW180">
        <v>5.3121706121541195</v>
      </c>
      <c r="AX180">
        <v>4.2823983633356164</v>
      </c>
      <c r="AY180">
        <v>4.153199565878424</v>
      </c>
      <c r="AZ180">
        <v>5.0767017006487833</v>
      </c>
      <c r="BA180">
        <v>3.4363738287819245</v>
      </c>
      <c r="BB180">
        <v>-3.2935638466719865</v>
      </c>
      <c r="BC180">
        <v>4.4104813981602291</v>
      </c>
      <c r="BD180">
        <v>6.3174763832658556</v>
      </c>
      <c r="BE180">
        <v>6.4959792290216711</v>
      </c>
      <c r="BF180">
        <v>4.9267922688301695</v>
      </c>
      <c r="BG180">
        <v>4.7851707468196736</v>
      </c>
      <c r="BH180">
        <v>4.7927022315846557</v>
      </c>
      <c r="BI180">
        <v>4.5629276091505346</v>
      </c>
      <c r="BJ180">
        <v>4.6308215520391371</v>
      </c>
      <c r="BK180">
        <v>-3.3626492884120438</v>
      </c>
      <c r="BL180">
        <v>-2.8970279195436888</v>
      </c>
      <c r="BM180">
        <v>-1.7662584519903959</v>
      </c>
      <c r="BN180">
        <v>10.3468976209071</v>
      </c>
      <c r="BO180">
        <v>3.7505743908815816</v>
      </c>
    </row>
    <row r="181" spans="1:67">
      <c r="A181" t="s">
        <v>698</v>
      </c>
      <c r="B181" t="s">
        <v>1131</v>
      </c>
      <c r="C181" t="s">
        <v>784</v>
      </c>
      <c r="D181" t="s">
        <v>785</v>
      </c>
      <c r="F181">
        <v>0.29554667271661117</v>
      </c>
      <c r="G181">
        <v>6.8435073210287243</v>
      </c>
      <c r="H181">
        <v>3.6246215304735756</v>
      </c>
      <c r="I181">
        <v>8.2749039306045944</v>
      </c>
      <c r="J181">
        <v>8.6430949357500992</v>
      </c>
      <c r="K181">
        <v>2.7411043345546346</v>
      </c>
      <c r="L181">
        <v>5.2800147469768319</v>
      </c>
      <c r="M181">
        <v>6.4161340399009106</v>
      </c>
      <c r="N181">
        <v>6.4294490775908884</v>
      </c>
      <c r="O181">
        <v>6.1401816481438232</v>
      </c>
      <c r="P181">
        <v>4.316980365114361</v>
      </c>
      <c r="Q181">
        <v>3.5338744094053993</v>
      </c>
      <c r="R181">
        <v>5.444222984832578</v>
      </c>
      <c r="S181">
        <v>3.4387178607190378</v>
      </c>
      <c r="T181">
        <v>2.0288622837512094E-3</v>
      </c>
      <c r="U181">
        <v>4.4563096516099705</v>
      </c>
      <c r="V181">
        <v>2.5204402791895859</v>
      </c>
      <c r="W181">
        <v>2.6962469637160495</v>
      </c>
      <c r="X181">
        <v>2.0141661280197667</v>
      </c>
      <c r="Y181">
        <v>1.341914135954994</v>
      </c>
      <c r="Z181">
        <v>-0.78361170741607111</v>
      </c>
      <c r="AA181">
        <v>-1.2407565927083795</v>
      </c>
      <c r="AB181">
        <v>2.0699578879006282</v>
      </c>
      <c r="AC181">
        <v>3.061679182172611</v>
      </c>
      <c r="AD181">
        <v>2.5801797705026246</v>
      </c>
      <c r="AE181">
        <v>2.7869757369201977</v>
      </c>
      <c r="AF181">
        <v>1.9312486849542267</v>
      </c>
      <c r="AG181">
        <v>3.4412188612939616</v>
      </c>
      <c r="AH181">
        <v>4.4201178960851877</v>
      </c>
      <c r="AI181">
        <v>4.1832229863407235</v>
      </c>
      <c r="AJ181">
        <v>2.4391344083439179</v>
      </c>
      <c r="AK181">
        <v>1.706070897200533</v>
      </c>
      <c r="AL181">
        <v>1.2575521578357325</v>
      </c>
      <c r="AM181">
        <v>2.961092569146345</v>
      </c>
      <c r="AN181">
        <v>3.1160359856591526</v>
      </c>
      <c r="AO181">
        <v>3.4987421205792941</v>
      </c>
      <c r="AP181">
        <v>4.3290534045254958</v>
      </c>
      <c r="AQ181">
        <v>4.6639171601524652</v>
      </c>
      <c r="AR181">
        <v>5.0340481518183537</v>
      </c>
      <c r="AS181">
        <v>4.1956424978691018</v>
      </c>
      <c r="AT181">
        <v>2.3269550869925837</v>
      </c>
      <c r="AU181">
        <v>0.21727359494956033</v>
      </c>
      <c r="AV181">
        <v>0.15564589801701345</v>
      </c>
      <c r="AW181">
        <v>1.9849457142215243</v>
      </c>
      <c r="AX181">
        <v>2.0508761081388087</v>
      </c>
      <c r="AY181">
        <v>3.4609889541150238</v>
      </c>
      <c r="AZ181">
        <v>3.7728425207388199</v>
      </c>
      <c r="BA181">
        <v>2.1703248513360336</v>
      </c>
      <c r="BB181">
        <v>-3.66688393735825</v>
      </c>
      <c r="BC181">
        <v>1.3427393363655256</v>
      </c>
      <c r="BD181">
        <v>1.5511893124465104</v>
      </c>
      <c r="BE181">
        <v>-1.0303539914843611</v>
      </c>
      <c r="BF181">
        <v>-0.13017528844991944</v>
      </c>
      <c r="BG181">
        <v>1.4233953951008402</v>
      </c>
      <c r="BH181">
        <v>1.95916972105708</v>
      </c>
      <c r="BI181">
        <v>2.1917137192612302</v>
      </c>
      <c r="BJ181">
        <v>2.9109025131500488</v>
      </c>
      <c r="BK181">
        <v>2.3609150947851276</v>
      </c>
      <c r="BL181">
        <v>1.9555884157404648</v>
      </c>
      <c r="BM181">
        <v>-3.8860839181960927</v>
      </c>
      <c r="BN181">
        <v>6.1918571042711648</v>
      </c>
      <c r="BO181">
        <v>4.3289183178719668</v>
      </c>
    </row>
    <row r="182" spans="1:67">
      <c r="A182" t="s">
        <v>1132</v>
      </c>
      <c r="B182" t="s">
        <v>1133</v>
      </c>
      <c r="C182" t="s">
        <v>784</v>
      </c>
      <c r="D182" t="s">
        <v>785</v>
      </c>
      <c r="F182">
        <v>6.2733355104072928</v>
      </c>
      <c r="G182">
        <v>2.813945138445419</v>
      </c>
      <c r="H182">
        <v>3.7850430836605256</v>
      </c>
      <c r="I182">
        <v>5.0096509866238961</v>
      </c>
      <c r="J182">
        <v>5.2856088005521826</v>
      </c>
      <c r="K182">
        <v>3.7865132548973435</v>
      </c>
      <c r="L182">
        <v>6.2560790063555629</v>
      </c>
      <c r="M182">
        <v>2.2598755281926231</v>
      </c>
      <c r="N182">
        <v>4.5046114555913732</v>
      </c>
      <c r="O182">
        <v>2.3447808280143505</v>
      </c>
      <c r="P182">
        <v>5.6736111859056138</v>
      </c>
      <c r="Q182">
        <v>5.3306048584820758</v>
      </c>
      <c r="R182">
        <v>4.5329339514721028</v>
      </c>
      <c r="S182">
        <v>3.9221817097190552</v>
      </c>
      <c r="T182">
        <v>4.9521030800703443</v>
      </c>
      <c r="U182">
        <v>5.8255338611041623</v>
      </c>
      <c r="V182">
        <v>4.1607148744754738</v>
      </c>
      <c r="W182">
        <v>3.869354428896159</v>
      </c>
      <c r="X182">
        <v>4.3725064490516701</v>
      </c>
      <c r="Y182">
        <v>4.5642429885892</v>
      </c>
      <c r="Z182">
        <v>1.598343922798918</v>
      </c>
      <c r="AA182">
        <v>0.23532243184341439</v>
      </c>
      <c r="AB182">
        <v>3.9730073825075607</v>
      </c>
      <c r="AC182">
        <v>6.0523813664543127</v>
      </c>
      <c r="AD182">
        <v>5.5534049225301629</v>
      </c>
      <c r="AE182">
        <v>4.042112233495601</v>
      </c>
      <c r="AF182">
        <v>1.7534969881564137</v>
      </c>
      <c r="AG182">
        <v>-0.25512689585987403</v>
      </c>
      <c r="AH182">
        <v>1.0382523545940217</v>
      </c>
      <c r="AI182">
        <v>1.9322913278736422</v>
      </c>
      <c r="AJ182">
        <v>3.084438584638221</v>
      </c>
      <c r="AK182">
        <v>3.5744589496927972</v>
      </c>
      <c r="AL182">
        <v>2.8451827322681282</v>
      </c>
      <c r="AM182">
        <v>5.055273981294178</v>
      </c>
      <c r="AN182">
        <v>4.1555922433275612</v>
      </c>
      <c r="AO182">
        <v>5.0279642657711463</v>
      </c>
      <c r="AP182">
        <v>5.2846065947280749</v>
      </c>
      <c r="AQ182">
        <v>2.6686866229890711</v>
      </c>
      <c r="AR182">
        <v>2.0720471707587933</v>
      </c>
      <c r="AS182">
        <v>3.318945670981563</v>
      </c>
      <c r="AT182">
        <v>2.0671304605461813</v>
      </c>
      <c r="AU182">
        <v>1.3775570014649645</v>
      </c>
      <c r="AV182">
        <v>0.94490939111871342</v>
      </c>
      <c r="AW182">
        <v>4.0145880170972816</v>
      </c>
      <c r="AX182">
        <v>2.685122890822484</v>
      </c>
      <c r="AY182">
        <v>2.4614731337032794</v>
      </c>
      <c r="AZ182">
        <v>2.9140399860717423</v>
      </c>
      <c r="BA182">
        <v>0.48191954123197434</v>
      </c>
      <c r="BB182">
        <v>-1.940364695051116</v>
      </c>
      <c r="BC182">
        <v>0.78705184549544072</v>
      </c>
      <c r="BD182">
        <v>1.1056560273372753</v>
      </c>
      <c r="BE182">
        <v>2.7179592667898191</v>
      </c>
      <c r="BF182">
        <v>1.0161908240927175</v>
      </c>
      <c r="BG182">
        <v>2.0481319985508435</v>
      </c>
      <c r="BH182">
        <v>1.8573397264330254</v>
      </c>
      <c r="BI182">
        <v>1.1647242349728515</v>
      </c>
      <c r="BJ182">
        <v>2.4637462851014647</v>
      </c>
      <c r="BK182">
        <v>0.828900664137592</v>
      </c>
      <c r="BL182">
        <v>1.1237778743679741</v>
      </c>
      <c r="BM182">
        <v>-1.2781717845225984</v>
      </c>
      <c r="BN182">
        <v>3.9086867768941715</v>
      </c>
      <c r="BO182">
        <v>3.0158894796581421</v>
      </c>
    </row>
    <row r="183" spans="1:67">
      <c r="A183" t="s">
        <v>1134</v>
      </c>
      <c r="B183" t="s">
        <v>1135</v>
      </c>
      <c r="C183" t="s">
        <v>784</v>
      </c>
      <c r="D183" t="s">
        <v>785</v>
      </c>
      <c r="F183">
        <v>1.9082659718423969</v>
      </c>
      <c r="G183">
        <v>1.9103200307780668</v>
      </c>
      <c r="H183">
        <v>1.8951116448191243</v>
      </c>
      <c r="I183">
        <v>7.5324485527316085</v>
      </c>
      <c r="J183">
        <v>-1.2031890183607317</v>
      </c>
      <c r="K183">
        <v>7.0406431449628712</v>
      </c>
      <c r="L183">
        <v>-1.5714974995745337</v>
      </c>
      <c r="M183">
        <v>0.67548346304491247</v>
      </c>
      <c r="N183">
        <v>4.4634216033196736</v>
      </c>
      <c r="O183">
        <v>2.5759921268742261</v>
      </c>
      <c r="P183">
        <v>-1.195383302353676</v>
      </c>
      <c r="Q183">
        <v>3.1178003640463885</v>
      </c>
      <c r="R183">
        <v>-0.47653626786384962</v>
      </c>
      <c r="S183">
        <v>6.3335903721727647</v>
      </c>
      <c r="T183">
        <v>1.4564707094430815</v>
      </c>
      <c r="U183">
        <v>4.398536178498432</v>
      </c>
      <c r="V183">
        <v>3.0169734422282488</v>
      </c>
      <c r="W183">
        <v>4.4057413892811184</v>
      </c>
      <c r="X183">
        <v>2.3688777953299081</v>
      </c>
      <c r="Y183">
        <v>-2.3193942051193233</v>
      </c>
      <c r="Z183">
        <v>8.3419741353082202</v>
      </c>
      <c r="AA183">
        <v>3.7793746537620621</v>
      </c>
      <c r="AB183">
        <v>-2.9774058574199813</v>
      </c>
      <c r="AC183">
        <v>9.6811300158857705</v>
      </c>
      <c r="AD183">
        <v>6.1449052372312991</v>
      </c>
      <c r="AE183">
        <v>4.5656505455874026</v>
      </c>
      <c r="AF183">
        <v>1.6956182657341685</v>
      </c>
      <c r="AG183">
        <v>7.6968087110725634</v>
      </c>
      <c r="AH183">
        <v>4.3296479328628124</v>
      </c>
      <c r="AI183">
        <v>4.6350363469186249</v>
      </c>
      <c r="AJ183">
        <v>6.3681503973868558</v>
      </c>
      <c r="AK183">
        <v>4.1064066173166935</v>
      </c>
      <c r="AL183">
        <v>3.8498500262957265</v>
      </c>
      <c r="AM183">
        <v>8.2160026929658727</v>
      </c>
      <c r="AN183">
        <v>3.4684518930960309</v>
      </c>
      <c r="AO183">
        <v>5.3282841750870773</v>
      </c>
      <c r="AP183">
        <v>5.0486125451732846</v>
      </c>
      <c r="AQ183">
        <v>3.0163894753939928</v>
      </c>
      <c r="AR183">
        <v>4.4125732804139943</v>
      </c>
      <c r="AS183">
        <v>6.1999999819223603</v>
      </c>
      <c r="AT183">
        <v>4.7998921425540715</v>
      </c>
      <c r="AU183">
        <v>0.12014317736941393</v>
      </c>
      <c r="AV183">
        <v>3.9450377605111555</v>
      </c>
      <c r="AW183">
        <v>4.6826032515294429</v>
      </c>
      <c r="AX183">
        <v>3.4791810482949614</v>
      </c>
      <c r="AY183">
        <v>3.3646147805627749</v>
      </c>
      <c r="AZ183">
        <v>3.4115602798027567</v>
      </c>
      <c r="BA183">
        <v>6.1046391437347154</v>
      </c>
      <c r="BB183">
        <v>4.533078724648604</v>
      </c>
      <c r="BC183">
        <v>4.8164146469457307</v>
      </c>
      <c r="BD183">
        <v>3.4218087011616234</v>
      </c>
      <c r="BE183">
        <v>4.670141924469533</v>
      </c>
      <c r="BF183">
        <v>3.5251531712914925</v>
      </c>
      <c r="BG183">
        <v>6.0114828425044067</v>
      </c>
      <c r="BH183">
        <v>3.9760532716297092</v>
      </c>
      <c r="BI183">
        <v>0.43311371938152377</v>
      </c>
      <c r="BJ183">
        <v>8.9772793564346642</v>
      </c>
      <c r="BK183">
        <v>7.6223761039793487</v>
      </c>
      <c r="BL183">
        <v>6.6570554311046664</v>
      </c>
      <c r="BM183">
        <v>-2.3696206292072048</v>
      </c>
      <c r="BN183">
        <v>4.8381496141149967</v>
      </c>
      <c r="BO183">
        <v>5.6131931634763959</v>
      </c>
    </row>
    <row r="184" spans="1:67">
      <c r="A184" t="s">
        <v>1136</v>
      </c>
      <c r="B184" t="s">
        <v>1137</v>
      </c>
      <c r="C184" t="s">
        <v>784</v>
      </c>
      <c r="D184" t="s">
        <v>785</v>
      </c>
      <c r="AX184">
        <v>-7.8431372549019613</v>
      </c>
      <c r="AY184">
        <v>-8.5106382978723474</v>
      </c>
      <c r="AZ184">
        <v>-6.9767441860465169</v>
      </c>
      <c r="BA184">
        <v>65</v>
      </c>
      <c r="BB184">
        <v>-6.0606060606060623</v>
      </c>
      <c r="BC184">
        <v>-1.6129032258064484</v>
      </c>
      <c r="BD184">
        <v>9.8360655737704974</v>
      </c>
      <c r="BE184">
        <v>31.343283582089555</v>
      </c>
      <c r="BF184">
        <v>4.5454545454545467</v>
      </c>
      <c r="BG184">
        <v>15.217391304347828</v>
      </c>
      <c r="BH184">
        <v>-5.6603773584905639</v>
      </c>
      <c r="BI184">
        <v>8</v>
      </c>
      <c r="BJ184">
        <v>-6.481481481481481</v>
      </c>
      <c r="BK184">
        <v>7.9207920792079278</v>
      </c>
      <c r="BL184">
        <v>8.2568807339449535</v>
      </c>
      <c r="BM184">
        <v>4.2372881355932321</v>
      </c>
      <c r="BN184">
        <v>3.2520325203252014</v>
      </c>
      <c r="BO184">
        <v>1.5748031496062964</v>
      </c>
    </row>
    <row r="185" spans="1:67">
      <c r="A185" t="s">
        <v>1138</v>
      </c>
      <c r="B185" t="s">
        <v>1139</v>
      </c>
      <c r="C185" t="s">
        <v>784</v>
      </c>
      <c r="D185" t="s">
        <v>785</v>
      </c>
      <c r="W185">
        <v>0.31856408978865147</v>
      </c>
      <c r="X185">
        <v>2.1917745091318608</v>
      </c>
      <c r="Y185">
        <v>1.2842521730217697</v>
      </c>
      <c r="Z185">
        <v>4.6556533062376531</v>
      </c>
      <c r="AA185">
        <v>0.92968441451304784</v>
      </c>
      <c r="AB185">
        <v>3.4915249851751327</v>
      </c>
      <c r="AC185">
        <v>4.7926992297364563</v>
      </c>
      <c r="AD185">
        <v>1.6153345500828067</v>
      </c>
      <c r="AE185">
        <v>2.7056417391386702</v>
      </c>
      <c r="AF185">
        <v>0.97083869676973222</v>
      </c>
      <c r="AG185">
        <v>-0.35367724507906928</v>
      </c>
      <c r="AH185">
        <v>0.16141417012163117</v>
      </c>
      <c r="AI185">
        <v>0.15314052614240836</v>
      </c>
      <c r="AJ185">
        <v>-1.0907920533164059</v>
      </c>
      <c r="AK185">
        <v>1.0938335610237999</v>
      </c>
      <c r="AL185">
        <v>6.3915294529530939</v>
      </c>
      <c r="AM185">
        <v>5.1192481129342724</v>
      </c>
      <c r="AN185">
        <v>4.722081044174061</v>
      </c>
      <c r="AO185">
        <v>3.6156743803208258</v>
      </c>
      <c r="AP185">
        <v>2.0791970200650951</v>
      </c>
      <c r="AQ185">
        <v>0.85909300770261154</v>
      </c>
      <c r="AR185">
        <v>5.3753645663166481</v>
      </c>
      <c r="AS185">
        <v>2.8713432568061421</v>
      </c>
      <c r="AT185">
        <v>3.4108814417003259</v>
      </c>
      <c r="AU185">
        <v>4.713962641841519</v>
      </c>
      <c r="AV185">
        <v>4.7284764543692432</v>
      </c>
      <c r="AW185">
        <v>4.0889569227504836</v>
      </c>
      <c r="AX185">
        <v>3.3533157967011959</v>
      </c>
      <c r="AY185">
        <v>2.7984634919711908</v>
      </c>
      <c r="AZ185">
        <v>3.0651178308267077</v>
      </c>
      <c r="BA185">
        <v>-1.2107115956788874</v>
      </c>
      <c r="BB185">
        <v>-0.1120676302348329</v>
      </c>
      <c r="BC185">
        <v>1.466751164934621</v>
      </c>
      <c r="BD185">
        <v>2.2215798228510693</v>
      </c>
      <c r="BE185">
        <v>2.2730314818846864</v>
      </c>
      <c r="BF185">
        <v>2.764920986577323</v>
      </c>
      <c r="BG185">
        <v>3.8108368379180462</v>
      </c>
      <c r="BH185">
        <v>3.7364307150253921</v>
      </c>
      <c r="BI185">
        <v>3.8017580480927222</v>
      </c>
      <c r="BJ185">
        <v>3.5244132494047591</v>
      </c>
      <c r="BK185">
        <v>3.5251832003696109</v>
      </c>
      <c r="BL185">
        <v>2.4459831551537263</v>
      </c>
      <c r="BM185">
        <v>-0.65392143209801645</v>
      </c>
      <c r="BN185">
        <v>5.1678473591699685</v>
      </c>
      <c r="BO185">
        <v>2.8511008349769469</v>
      </c>
    </row>
    <row r="186" spans="1:67">
      <c r="A186" t="s">
        <v>1140</v>
      </c>
      <c r="B186" t="s">
        <v>1141</v>
      </c>
      <c r="C186" t="s">
        <v>784</v>
      </c>
      <c r="D186" t="s">
        <v>785</v>
      </c>
      <c r="F186">
        <v>4.2909080465295801</v>
      </c>
      <c r="G186">
        <v>5.6895393822370011</v>
      </c>
      <c r="H186">
        <v>5.3506036990086443</v>
      </c>
      <c r="I186">
        <v>6.4598252728288514</v>
      </c>
      <c r="J186">
        <v>5.4849570034203055</v>
      </c>
      <c r="K186">
        <v>5.9727181571135475</v>
      </c>
      <c r="L186">
        <v>4.326001442158443</v>
      </c>
      <c r="M186">
        <v>6.0176101185515591</v>
      </c>
      <c r="N186">
        <v>5.2447027091073721</v>
      </c>
      <c r="O186">
        <v>2.8623151519884544</v>
      </c>
      <c r="P186">
        <v>3.7233573360654759</v>
      </c>
      <c r="Q186">
        <v>5.4089806195625698</v>
      </c>
      <c r="R186">
        <v>6.0980187519557916</v>
      </c>
      <c r="S186">
        <v>1.0127991870560322</v>
      </c>
      <c r="T186">
        <v>0.26180946374149983</v>
      </c>
      <c r="U186">
        <v>4.8986240443830837</v>
      </c>
      <c r="V186">
        <v>3.8016659877878567</v>
      </c>
      <c r="W186">
        <v>4.4685542648967242</v>
      </c>
      <c r="X186">
        <v>3.9359051629036088</v>
      </c>
      <c r="Y186">
        <v>1.189823121958014</v>
      </c>
      <c r="Z186">
        <v>2.1268570407303002</v>
      </c>
      <c r="AA186">
        <v>0.1389121518653269</v>
      </c>
      <c r="AB186">
        <v>2.8805930902357773</v>
      </c>
      <c r="AC186">
        <v>4.7460706358255322</v>
      </c>
      <c r="AD186">
        <v>3.7200616027309934</v>
      </c>
      <c r="AE186">
        <v>3.0215808235850545</v>
      </c>
      <c r="AF186">
        <v>3.522578377439217</v>
      </c>
      <c r="AG186">
        <v>4.5526566249070299</v>
      </c>
      <c r="AH186">
        <v>3.8041186341549746</v>
      </c>
      <c r="AI186">
        <v>2.9450968018107631</v>
      </c>
      <c r="AJ186">
        <v>1.2196632497824282</v>
      </c>
      <c r="AK186">
        <v>2.147712935601632</v>
      </c>
      <c r="AL186">
        <v>1.4036871587807411</v>
      </c>
      <c r="AM186">
        <v>3.2092804755916973</v>
      </c>
      <c r="AN186">
        <v>2.6525667288975256</v>
      </c>
      <c r="AO186">
        <v>3.1059797990055245</v>
      </c>
      <c r="AP186">
        <v>3.6351059975389717</v>
      </c>
      <c r="AQ186">
        <v>3.0358746800744427</v>
      </c>
      <c r="AR186">
        <v>3.4290374240567587</v>
      </c>
      <c r="AS186">
        <v>4.0927934347644026</v>
      </c>
      <c r="AT186">
        <v>1.4154393353491628</v>
      </c>
      <c r="AU186">
        <v>1.5383204517732167</v>
      </c>
      <c r="AV186">
        <v>2.0340543780523035</v>
      </c>
      <c r="AW186">
        <v>3.267847325578515</v>
      </c>
      <c r="AX186">
        <v>2.8204532089729071</v>
      </c>
      <c r="AY186">
        <v>3.0255000395052178</v>
      </c>
      <c r="AZ186">
        <v>2.5972120453544818</v>
      </c>
      <c r="BA186">
        <v>0.38817233171603505</v>
      </c>
      <c r="BB186">
        <v>-3.4054000804860607</v>
      </c>
      <c r="BC186">
        <v>2.9739914629681437</v>
      </c>
      <c r="BD186">
        <v>1.8728516875087848</v>
      </c>
      <c r="BE186">
        <v>1.3907348177816203</v>
      </c>
      <c r="BF186">
        <v>1.5045453757924747</v>
      </c>
      <c r="BG186">
        <v>2.0865786226766545</v>
      </c>
      <c r="BH186">
        <v>2.4101379918910197</v>
      </c>
      <c r="BI186">
        <v>1.793299500608228</v>
      </c>
      <c r="BJ186">
        <v>2.504243712384806</v>
      </c>
      <c r="BK186">
        <v>2.3338349930081819</v>
      </c>
      <c r="BL186">
        <v>1.7308894025894119</v>
      </c>
      <c r="BM186">
        <v>-4.1762723174759202</v>
      </c>
      <c r="BN186">
        <v>5.7789593913833528</v>
      </c>
      <c r="BO186">
        <v>2.7735516295951328</v>
      </c>
    </row>
    <row r="187" spans="1:67">
      <c r="A187" t="s">
        <v>1142</v>
      </c>
      <c r="B187" t="s">
        <v>1143</v>
      </c>
      <c r="C187" t="s">
        <v>784</v>
      </c>
      <c r="D187" t="s">
        <v>785</v>
      </c>
      <c r="K187">
        <v>5.2044635992845087</v>
      </c>
      <c r="L187">
        <v>66.219083776608528</v>
      </c>
      <c r="M187">
        <v>81.887796710685024</v>
      </c>
      <c r="N187">
        <v>25.666168823056097</v>
      </c>
      <c r="O187">
        <v>13.895096441061099</v>
      </c>
      <c r="P187">
        <v>0.89822508697687908</v>
      </c>
      <c r="Q187">
        <v>9.8252241697705216</v>
      </c>
      <c r="R187">
        <v>-14.25205785847416</v>
      </c>
      <c r="S187">
        <v>11.498806477032588</v>
      </c>
      <c r="T187">
        <v>24.433502738436388</v>
      </c>
      <c r="U187">
        <v>20.540122917030644</v>
      </c>
      <c r="V187">
        <v>1.0072183293365526</v>
      </c>
      <c r="W187">
        <v>-3.6935310903541989</v>
      </c>
      <c r="X187">
        <v>4.3317415398654617</v>
      </c>
      <c r="Y187">
        <v>6.0354441156521261</v>
      </c>
      <c r="Z187">
        <v>17.047078390304321</v>
      </c>
      <c r="AA187">
        <v>11.569837400981385</v>
      </c>
      <c r="AB187">
        <v>16.666670729976431</v>
      </c>
      <c r="AC187">
        <v>16.711593985564633</v>
      </c>
      <c r="AD187">
        <v>14.007197108323766</v>
      </c>
      <c r="AE187">
        <v>2.0021597825803781</v>
      </c>
      <c r="AF187">
        <v>-3.4407841670407042</v>
      </c>
      <c r="AG187">
        <v>5.9640276482264483</v>
      </c>
      <c r="AH187">
        <v>11.756861836079295</v>
      </c>
      <c r="AI187">
        <v>-0.13042573812933256</v>
      </c>
      <c r="AJ187">
        <v>6.0740779081686469</v>
      </c>
      <c r="AK187">
        <v>8.413884259370974</v>
      </c>
      <c r="AL187">
        <v>6.042960674614875</v>
      </c>
      <c r="AM187">
        <v>3.8757741665788785</v>
      </c>
      <c r="AN187">
        <v>4.9968195203065449</v>
      </c>
      <c r="AO187">
        <v>3.0459399097854742</v>
      </c>
      <c r="AP187">
        <v>6.0335125070994451</v>
      </c>
      <c r="AQ187">
        <v>2.6423380320232042</v>
      </c>
      <c r="AR187">
        <v>0.33149556960813698</v>
      </c>
      <c r="AS187">
        <v>6.5510668850848504</v>
      </c>
      <c r="AT187">
        <v>4.4828025314312043</v>
      </c>
      <c r="AU187">
        <v>-1.1009052929135237</v>
      </c>
      <c r="AV187">
        <v>-2.6685911088882506</v>
      </c>
      <c r="AW187">
        <v>1.2922056807295803</v>
      </c>
      <c r="AX187">
        <v>2.4902211426649785</v>
      </c>
      <c r="AY187">
        <v>5.3718888740982038</v>
      </c>
      <c r="AZ187">
        <v>4.4526835653811077</v>
      </c>
      <c r="BA187">
        <v>8.2000781575914061</v>
      </c>
      <c r="BB187">
        <v>6.1123956079346016</v>
      </c>
      <c r="BC187">
        <v>1.7139853114803429</v>
      </c>
      <c r="BD187">
        <v>2.8946097354119189</v>
      </c>
      <c r="BE187">
        <v>8.8631222555701754</v>
      </c>
      <c r="BF187">
        <v>5.2277040814594216</v>
      </c>
      <c r="BG187">
        <v>1.2922522941108099</v>
      </c>
      <c r="BH187">
        <v>5.0170579971904488</v>
      </c>
      <c r="BI187">
        <v>5.04642394571691</v>
      </c>
      <c r="BJ187">
        <v>0.3040575659224487</v>
      </c>
      <c r="BK187">
        <v>1.2871039154328798</v>
      </c>
      <c r="BL187">
        <v>-1.1287110618463032</v>
      </c>
      <c r="BM187">
        <v>-3.3797143999223778</v>
      </c>
      <c r="BN187">
        <v>3.0922766873744649</v>
      </c>
      <c r="BO187">
        <v>4.311253509069914</v>
      </c>
    </row>
    <row r="188" spans="1:67">
      <c r="A188" t="s">
        <v>1144</v>
      </c>
      <c r="B188" t="s">
        <v>1145</v>
      </c>
      <c r="C188" t="s">
        <v>784</v>
      </c>
      <c r="D188" t="s">
        <v>785</v>
      </c>
      <c r="AT188">
        <v>4.1110667754476111</v>
      </c>
      <c r="AU188">
        <v>4.5332125728795347</v>
      </c>
      <c r="AV188">
        <v>4.4942624812523775</v>
      </c>
      <c r="AW188">
        <v>9.0207982963426616</v>
      </c>
      <c r="AX188">
        <v>5.7696803927693878</v>
      </c>
      <c r="AY188">
        <v>10.821425175844851</v>
      </c>
      <c r="AZ188">
        <v>9.8418155884643284</v>
      </c>
      <c r="BA188">
        <v>7.3060486921468595</v>
      </c>
      <c r="BB188">
        <v>1.5620357451556544</v>
      </c>
      <c r="BC188">
        <v>8.6834756927517844</v>
      </c>
      <c r="BD188">
        <v>7.559569531872711</v>
      </c>
      <c r="BE188">
        <v>3.4028727689265423</v>
      </c>
      <c r="BF188">
        <v>3.6743566960073366</v>
      </c>
      <c r="BG188">
        <v>3.8519854742634578</v>
      </c>
      <c r="BH188">
        <v>3.1362666968702655</v>
      </c>
      <c r="BI188">
        <v>2.9780936777413132</v>
      </c>
      <c r="BJ188">
        <v>1.3259339292769567</v>
      </c>
      <c r="BK188">
        <v>2.2651378691536479</v>
      </c>
      <c r="BL188">
        <v>2.1696692345034592</v>
      </c>
      <c r="BM188">
        <v>-4.7702789917645845</v>
      </c>
      <c r="BN188">
        <v>4.2597766019858483</v>
      </c>
      <c r="BO188">
        <v>4.2049774196638765</v>
      </c>
    </row>
    <row r="189" spans="1:67">
      <c r="A189" t="s">
        <v>1146</v>
      </c>
      <c r="B189" t="s">
        <v>1147</v>
      </c>
      <c r="C189" t="s">
        <v>784</v>
      </c>
      <c r="D189" t="s">
        <v>785</v>
      </c>
      <c r="F189">
        <v>5.9873464192908017</v>
      </c>
      <c r="G189">
        <v>4.4828586274664275</v>
      </c>
      <c r="H189">
        <v>8.6888315182532665</v>
      </c>
      <c r="I189">
        <v>7.5697574490572634</v>
      </c>
      <c r="J189">
        <v>10.419365822013134</v>
      </c>
      <c r="K189">
        <v>5.7899518014341567</v>
      </c>
      <c r="L189">
        <v>5.4006125972082941</v>
      </c>
      <c r="M189">
        <v>7.2332209250022288</v>
      </c>
      <c r="N189">
        <v>5.5078996342874831</v>
      </c>
      <c r="O189">
        <v>11.353461718188584</v>
      </c>
      <c r="P189">
        <v>0.46837254850393606</v>
      </c>
      <c r="Q189">
        <v>0.81340640458367375</v>
      </c>
      <c r="R189">
        <v>7.0642638569401015</v>
      </c>
      <c r="S189">
        <v>3.5401917127973519</v>
      </c>
      <c r="T189">
        <v>4.2114156314740256</v>
      </c>
      <c r="U189">
        <v>5.1561895898520191</v>
      </c>
      <c r="V189">
        <v>3.9476982874147239</v>
      </c>
      <c r="W189">
        <v>8.0485336193738561</v>
      </c>
      <c r="X189">
        <v>3.7584355685326187</v>
      </c>
      <c r="Y189">
        <v>10.215704037270726</v>
      </c>
      <c r="Z189">
        <v>7.9207635719977389</v>
      </c>
      <c r="AA189">
        <v>6.5374867999854018</v>
      </c>
      <c r="AB189">
        <v>6.7783783387064034</v>
      </c>
      <c r="AC189">
        <v>5.065205604758745</v>
      </c>
      <c r="AD189">
        <v>7.5921146987560633</v>
      </c>
      <c r="AE189">
        <v>5.5016536638608358</v>
      </c>
      <c r="AF189">
        <v>6.4523430246764377</v>
      </c>
      <c r="AG189">
        <v>7.6252787795899906</v>
      </c>
      <c r="AH189">
        <v>4.9597688944093647</v>
      </c>
      <c r="AI189">
        <v>4.4585868150983572</v>
      </c>
      <c r="AJ189">
        <v>5.061567758963605</v>
      </c>
      <c r="AK189">
        <v>7.7058978173087667</v>
      </c>
      <c r="AL189">
        <v>1.7577476975476429</v>
      </c>
      <c r="AM189">
        <v>3.7374155578682178</v>
      </c>
      <c r="AN189">
        <v>4.9626091460700081</v>
      </c>
      <c r="AO189">
        <v>4.8465812871112917</v>
      </c>
      <c r="AP189">
        <v>1.0143960106523906</v>
      </c>
      <c r="AQ189">
        <v>2.5502342980749972</v>
      </c>
      <c r="AR189">
        <v>3.6601327395308942</v>
      </c>
      <c r="AS189">
        <v>4.2600880111200752</v>
      </c>
      <c r="AT189">
        <v>3.6513501708376452</v>
      </c>
      <c r="AU189">
        <v>2.5948166844578395</v>
      </c>
      <c r="AV189">
        <v>5.4013108731434158</v>
      </c>
      <c r="AW189">
        <v>7.8312555696125088</v>
      </c>
      <c r="AX189">
        <v>7.2765744364722025</v>
      </c>
      <c r="AY189">
        <v>6.0516376756999648</v>
      </c>
      <c r="AZ189">
        <v>4.4448143398844024</v>
      </c>
      <c r="BA189">
        <v>2.1204410433083041</v>
      </c>
      <c r="BB189">
        <v>3.4725505956734821</v>
      </c>
      <c r="BC189">
        <v>1.5017175215288319</v>
      </c>
      <c r="BD189">
        <v>2.6801168542170473</v>
      </c>
      <c r="BE189">
        <v>3.0275839108862925</v>
      </c>
      <c r="BF189">
        <v>4.3668650497838684</v>
      </c>
      <c r="BG189">
        <v>4.116428171614217</v>
      </c>
      <c r="BH189">
        <v>4.2179420957250642</v>
      </c>
      <c r="BI189">
        <v>6.5738382851104262</v>
      </c>
      <c r="BJ189">
        <v>4.4326259068397462</v>
      </c>
      <c r="BK189">
        <v>6.1517026109951871</v>
      </c>
      <c r="BL189">
        <v>2.4976369294336536</v>
      </c>
      <c r="BM189">
        <v>-1.2740874433870886</v>
      </c>
      <c r="BN189">
        <v>6.5138857585270244</v>
      </c>
      <c r="BO189">
        <v>4.7058029519802886</v>
      </c>
    </row>
    <row r="190" spans="1:67">
      <c r="A190" t="s">
        <v>1148</v>
      </c>
      <c r="B190" t="s">
        <v>1149</v>
      </c>
      <c r="C190" t="s">
        <v>784</v>
      </c>
      <c r="D190" t="s">
        <v>785</v>
      </c>
      <c r="F190">
        <v>10.926594841623015</v>
      </c>
      <c r="G190">
        <v>8.244736819974591</v>
      </c>
      <c r="H190">
        <v>8.5387887993980058</v>
      </c>
      <c r="I190">
        <v>4.4321303682908706</v>
      </c>
      <c r="J190">
        <v>9.1600362620539499</v>
      </c>
      <c r="K190">
        <v>7.5814018828489509</v>
      </c>
      <c r="L190">
        <v>8.5529311789897235</v>
      </c>
      <c r="M190">
        <v>6.9773886237350951</v>
      </c>
      <c r="N190">
        <v>8.4413891687739948</v>
      </c>
      <c r="O190">
        <v>6.9592261077993953</v>
      </c>
      <c r="P190">
        <v>9.6161375784046754</v>
      </c>
      <c r="Q190">
        <v>4.5828125052524484</v>
      </c>
      <c r="R190">
        <v>5.3643102172053432</v>
      </c>
      <c r="S190">
        <v>2.4483195624655991</v>
      </c>
      <c r="T190">
        <v>1.7409194401264614</v>
      </c>
      <c r="U190">
        <v>1.6644613597297564</v>
      </c>
      <c r="V190">
        <v>1.0940258905988429</v>
      </c>
      <c r="W190">
        <v>9.7926439181665614</v>
      </c>
      <c r="X190">
        <v>4.5147510798511945</v>
      </c>
      <c r="Y190">
        <v>13.084481729049145</v>
      </c>
      <c r="Z190">
        <v>9.2068094535793392</v>
      </c>
      <c r="AA190">
        <v>5.348456438376644</v>
      </c>
      <c r="AB190">
        <v>-4.4913643464289663</v>
      </c>
      <c r="AC190">
        <v>2.7094737730586331</v>
      </c>
      <c r="AD190">
        <v>4.9422336515399223</v>
      </c>
      <c r="AE190">
        <v>3.5677882281901674</v>
      </c>
      <c r="AF190">
        <v>-1.809055481394978</v>
      </c>
      <c r="AG190">
        <v>-13.379843782662462</v>
      </c>
      <c r="AH190">
        <v>1.5622470054952373</v>
      </c>
      <c r="AI190">
        <v>8.0989930057321544</v>
      </c>
      <c r="AJ190">
        <v>9.4190057774310958</v>
      </c>
      <c r="AK190">
        <v>8.2016801608970695</v>
      </c>
      <c r="AL190">
        <v>5.4557443567584016</v>
      </c>
      <c r="AM190">
        <v>2.8501471006309202</v>
      </c>
      <c r="AN190">
        <v>1.7516787932224247</v>
      </c>
      <c r="AO190">
        <v>4.0797029487954433</v>
      </c>
      <c r="AP190">
        <v>6.4609903403927547</v>
      </c>
      <c r="AQ190">
        <v>7.3415008342515762</v>
      </c>
      <c r="AR190">
        <v>3.9172067072642989</v>
      </c>
      <c r="AS190">
        <v>2.7153738019352289</v>
      </c>
      <c r="AT190">
        <v>0.5742731510950847</v>
      </c>
      <c r="AU190">
        <v>2.2291493227180013</v>
      </c>
      <c r="AV190">
        <v>4.2054959058826142</v>
      </c>
      <c r="AW190">
        <v>7.5220797202946414</v>
      </c>
      <c r="AX190">
        <v>7.1912793452920454</v>
      </c>
      <c r="AY190">
        <v>8.6524656858030653</v>
      </c>
      <c r="AZ190">
        <v>11.983985111973695</v>
      </c>
      <c r="BA190">
        <v>9.8556551081016863</v>
      </c>
      <c r="BB190">
        <v>1.2429921268325899</v>
      </c>
      <c r="BC190">
        <v>5.8279934481551692</v>
      </c>
      <c r="BD190">
        <v>11.313625969269793</v>
      </c>
      <c r="BE190">
        <v>9.7784901105997477</v>
      </c>
      <c r="BF190">
        <v>6.9039481091534753</v>
      </c>
      <c r="BG190">
        <v>5.0664223387955758</v>
      </c>
      <c r="BH190">
        <v>5.7330543091585184</v>
      </c>
      <c r="BI190">
        <v>4.9532114714853037</v>
      </c>
      <c r="BJ190">
        <v>5.5911488741470947</v>
      </c>
      <c r="BK190">
        <v>3.6854298159490781</v>
      </c>
      <c r="BL190">
        <v>3.2818749770670905</v>
      </c>
      <c r="BM190">
        <v>-17.668332721853304</v>
      </c>
      <c r="BN190">
        <v>15.835765045401985</v>
      </c>
      <c r="BO190">
        <v>10.809366118178559</v>
      </c>
    </row>
    <row r="191" spans="1:67">
      <c r="A191" t="s">
        <v>1150</v>
      </c>
      <c r="B191" t="s">
        <v>1151</v>
      </c>
      <c r="C191" t="s">
        <v>784</v>
      </c>
      <c r="D191" t="s">
        <v>785</v>
      </c>
      <c r="F191">
        <v>7.3470963314556883</v>
      </c>
      <c r="G191">
        <v>10.035293334221222</v>
      </c>
      <c r="H191">
        <v>4.3282498184459115</v>
      </c>
      <c r="I191">
        <v>6.5478676504710194</v>
      </c>
      <c r="J191">
        <v>5.621733449477361</v>
      </c>
      <c r="K191">
        <v>8.2389204457594047</v>
      </c>
      <c r="L191">
        <v>3.8525644078289503</v>
      </c>
      <c r="M191">
        <v>0.15223771093175742</v>
      </c>
      <c r="N191">
        <v>3.5144589125139589</v>
      </c>
      <c r="O191">
        <v>3.3659460033261439</v>
      </c>
      <c r="P191">
        <v>4.5905399275988543</v>
      </c>
      <c r="Q191">
        <v>3.4775351231047296</v>
      </c>
      <c r="R191">
        <v>6.2769347556202177</v>
      </c>
      <c r="S191">
        <v>9.386834919383034</v>
      </c>
      <c r="T191">
        <v>4.3008631654842588</v>
      </c>
      <c r="U191">
        <v>1.4471109951741141</v>
      </c>
      <c r="V191">
        <v>0.34906369930381231</v>
      </c>
      <c r="W191">
        <v>-2.6425029788215397</v>
      </c>
      <c r="X191">
        <v>4.0907505741000278</v>
      </c>
      <c r="Y191">
        <v>5.9433353983084061</v>
      </c>
      <c r="Z191">
        <v>5.5520418148404644</v>
      </c>
      <c r="AA191">
        <v>-0.22272344418630041</v>
      </c>
      <c r="AB191">
        <v>-10.408085798296952</v>
      </c>
      <c r="AC191">
        <v>3.6082865381696649</v>
      </c>
      <c r="AD191">
        <v>2.0611320662589492</v>
      </c>
      <c r="AE191">
        <v>9.4259623607365199</v>
      </c>
      <c r="AF191">
        <v>9.726146430503718</v>
      </c>
      <c r="AG191">
        <v>-9.4412734462939198</v>
      </c>
      <c r="AH191">
        <v>-12.312041447129602</v>
      </c>
      <c r="AI191">
        <v>-4.9825635364660457</v>
      </c>
      <c r="AJ191">
        <v>2.2192591027909003</v>
      </c>
      <c r="AK191">
        <v>-0.54050912472392554</v>
      </c>
      <c r="AL191">
        <v>5.2435770077329096</v>
      </c>
      <c r="AM191">
        <v>12.308366184844502</v>
      </c>
      <c r="AN191">
        <v>7.411395047351192</v>
      </c>
      <c r="AO191">
        <v>2.7989730791260854</v>
      </c>
      <c r="AP191">
        <v>6.4768244207970866</v>
      </c>
      <c r="AQ191">
        <v>-0.39153755583382122</v>
      </c>
      <c r="AR191">
        <v>1.4949106430883319</v>
      </c>
      <c r="AS191">
        <v>2.6943713980691228</v>
      </c>
      <c r="AT191">
        <v>0.61789232562429675</v>
      </c>
      <c r="AU191">
        <v>5.4535289381876737</v>
      </c>
      <c r="AV191">
        <v>4.1650231366611195</v>
      </c>
      <c r="AW191">
        <v>4.9582032061174459</v>
      </c>
      <c r="AX191">
        <v>6.285060325096012</v>
      </c>
      <c r="AY191">
        <v>7.5288990440594006</v>
      </c>
      <c r="AZ191">
        <v>8.5183877690954972</v>
      </c>
      <c r="BA191">
        <v>9.1265683014642036</v>
      </c>
      <c r="BB191">
        <v>1.0958236592426971</v>
      </c>
      <c r="BC191">
        <v>8.3324591074957652</v>
      </c>
      <c r="BD191">
        <v>6.3271924016111711</v>
      </c>
      <c r="BE191">
        <v>6.1397247056043511</v>
      </c>
      <c r="BF191">
        <v>5.8525182108492828</v>
      </c>
      <c r="BG191">
        <v>2.3821573718054054</v>
      </c>
      <c r="BH191">
        <v>3.2522447721845111</v>
      </c>
      <c r="BI191">
        <v>3.9533187152076721</v>
      </c>
      <c r="BJ191">
        <v>2.5188354423313513</v>
      </c>
      <c r="BK191">
        <v>3.9693513413649981</v>
      </c>
      <c r="BL191">
        <v>2.2406317687504895</v>
      </c>
      <c r="BM191">
        <v>-10.869640782649256</v>
      </c>
      <c r="BN191">
        <v>13.417530290994705</v>
      </c>
      <c r="BO191">
        <v>2.6838714347763073</v>
      </c>
    </row>
    <row r="192" spans="1:67">
      <c r="A192" t="s">
        <v>1152</v>
      </c>
      <c r="B192" t="s">
        <v>1153</v>
      </c>
      <c r="C192" t="s">
        <v>784</v>
      </c>
      <c r="D192" t="s">
        <v>785</v>
      </c>
      <c r="F192">
        <v>5.6954709502975476</v>
      </c>
      <c r="G192">
        <v>4.8462941891589821</v>
      </c>
      <c r="H192">
        <v>7.0162651841658317</v>
      </c>
      <c r="I192">
        <v>3.4024944357127254</v>
      </c>
      <c r="J192">
        <v>5.3450893293223629</v>
      </c>
      <c r="K192">
        <v>4.4411585340256039</v>
      </c>
      <c r="L192">
        <v>5.2226875892266378</v>
      </c>
      <c r="M192">
        <v>5.0381593969295579</v>
      </c>
      <c r="N192">
        <v>4.6894734410081895</v>
      </c>
      <c r="O192">
        <v>3.6924874865479609</v>
      </c>
      <c r="P192">
        <v>5.3890084162125902</v>
      </c>
      <c r="Q192">
        <v>5.4303874939234333</v>
      </c>
      <c r="R192">
        <v>8.78200912237088</v>
      </c>
      <c r="S192">
        <v>3.3946063785020613</v>
      </c>
      <c r="T192">
        <v>5.4511028696547754</v>
      </c>
      <c r="U192">
        <v>8.778403330513342</v>
      </c>
      <c r="V192">
        <v>5.5629702515126667</v>
      </c>
      <c r="W192">
        <v>5.1923845302780762</v>
      </c>
      <c r="X192">
        <v>5.5955710759113089</v>
      </c>
      <c r="Y192">
        <v>5.2007110791118691</v>
      </c>
      <c r="Z192">
        <v>3.4222087375366499</v>
      </c>
      <c r="AA192">
        <v>3.6984060985110858</v>
      </c>
      <c r="AB192">
        <v>1.8969517895909718</v>
      </c>
      <c r="AC192">
        <v>-7.039378201225901</v>
      </c>
      <c r="AD192">
        <v>-6.8583772086468286</v>
      </c>
      <c r="AE192">
        <v>3.5106840300550601</v>
      </c>
      <c r="AF192">
        <v>4.3618096727769711</v>
      </c>
      <c r="AG192">
        <v>6.6969311046818518</v>
      </c>
      <c r="AH192">
        <v>6.1839182028338797</v>
      </c>
      <c r="AI192">
        <v>3.0826725285588736</v>
      </c>
      <c r="AJ192">
        <v>-0.4363900805334282</v>
      </c>
      <c r="AK192">
        <v>0.4176290660979447</v>
      </c>
      <c r="AL192">
        <v>2.1818899856129974</v>
      </c>
      <c r="AM192">
        <v>4.3736659181907669</v>
      </c>
      <c r="AN192">
        <v>4.6252251173966101</v>
      </c>
      <c r="AO192">
        <v>5.8603478716378987</v>
      </c>
      <c r="AP192">
        <v>5.1864116740616453</v>
      </c>
      <c r="AQ192">
        <v>-0.51409059954188763</v>
      </c>
      <c r="AR192">
        <v>3.3464511839826656</v>
      </c>
      <c r="AS192">
        <v>4.3825048334725381</v>
      </c>
      <c r="AT192">
        <v>3.0492315098586573</v>
      </c>
      <c r="AU192">
        <v>3.716255001583832</v>
      </c>
      <c r="AV192">
        <v>5.0869111351307339</v>
      </c>
      <c r="AW192">
        <v>6.5692285118062586</v>
      </c>
      <c r="AX192">
        <v>4.9425051187767792</v>
      </c>
      <c r="AY192">
        <v>5.316416821369387</v>
      </c>
      <c r="AZ192">
        <v>6.5192915501893793</v>
      </c>
      <c r="BA192">
        <v>4.3444873050918318</v>
      </c>
      <c r="BB192">
        <v>1.4483230627566854</v>
      </c>
      <c r="BC192">
        <v>7.334499965144019</v>
      </c>
      <c r="BD192">
        <v>3.8582328242075477</v>
      </c>
      <c r="BE192">
        <v>6.8969517078676859</v>
      </c>
      <c r="BF192">
        <v>6.7505313039474544</v>
      </c>
      <c r="BG192">
        <v>6.3479874802974052</v>
      </c>
      <c r="BH192">
        <v>6.3483097153988552</v>
      </c>
      <c r="BI192">
        <v>7.1494567528665556</v>
      </c>
      <c r="BJ192">
        <v>6.9309883252176547</v>
      </c>
      <c r="BK192">
        <v>6.3414855709894624</v>
      </c>
      <c r="BL192">
        <v>6.1185256611850463</v>
      </c>
      <c r="BM192">
        <v>-9.5182947406493952</v>
      </c>
      <c r="BN192">
        <v>5.714733134832457</v>
      </c>
      <c r="BO192">
        <v>7.5703324879502674</v>
      </c>
    </row>
    <row r="193" spans="1:67">
      <c r="A193" t="s">
        <v>1154</v>
      </c>
      <c r="B193" t="s">
        <v>1155</v>
      </c>
      <c r="C193" t="s">
        <v>784</v>
      </c>
      <c r="D193" t="s">
        <v>785</v>
      </c>
      <c r="AT193">
        <v>6.4401069493361405</v>
      </c>
      <c r="AU193">
        <v>3.5793918002288763</v>
      </c>
      <c r="AV193">
        <v>-3.2633832139261614</v>
      </c>
      <c r="AW193">
        <v>4.8560302792097332</v>
      </c>
      <c r="AX193">
        <v>3.9598636786565748</v>
      </c>
      <c r="AY193">
        <v>-0.40564364089360083</v>
      </c>
      <c r="AZ193">
        <v>2.0211417088629844</v>
      </c>
      <c r="BA193">
        <v>-5.7819114213330494</v>
      </c>
      <c r="BB193">
        <v>-6.5904726053419296</v>
      </c>
      <c r="BC193">
        <v>0.21609349236022979</v>
      </c>
      <c r="BD193">
        <v>6.6836675380854444</v>
      </c>
      <c r="BE193">
        <v>1.6725973403488155</v>
      </c>
      <c r="BF193">
        <v>-3.3873099360557575</v>
      </c>
      <c r="BG193">
        <v>6.2938658652999635</v>
      </c>
      <c r="BH193">
        <v>7.5390632254134715</v>
      </c>
      <c r="BI193">
        <v>-8.3373224001817903E-2</v>
      </c>
      <c r="BJ193">
        <v>-4.0788109229173841</v>
      </c>
      <c r="BK193">
        <v>1.4098648648648719</v>
      </c>
      <c r="BL193">
        <v>0.19828552315797765</v>
      </c>
      <c r="BM193">
        <v>-7.5495020975164522</v>
      </c>
      <c r="BN193">
        <v>-13.722089321483779</v>
      </c>
    </row>
    <row r="194" spans="1:67">
      <c r="A194" t="s">
        <v>1156</v>
      </c>
      <c r="B194" t="s">
        <v>1157</v>
      </c>
      <c r="C194" t="s">
        <v>784</v>
      </c>
      <c r="D194" t="s">
        <v>785</v>
      </c>
      <c r="F194">
        <v>6.18111172052933</v>
      </c>
      <c r="G194">
        <v>6.3740993162362258</v>
      </c>
      <c r="H194">
        <v>4.0725217705863059</v>
      </c>
      <c r="I194">
        <v>8.5702815288621252</v>
      </c>
      <c r="J194">
        <v>10.268519808654531</v>
      </c>
      <c r="K194">
        <v>5.8137579812349998</v>
      </c>
      <c r="L194">
        <v>4.0704614746062759</v>
      </c>
      <c r="M194">
        <v>4.3595902508870381</v>
      </c>
      <c r="N194">
        <v>8.2734579477913286</v>
      </c>
      <c r="O194">
        <v>10.842805777682329</v>
      </c>
      <c r="P194">
        <v>6.2951925673701226</v>
      </c>
      <c r="Q194">
        <v>5.6435533711488972</v>
      </c>
      <c r="R194">
        <v>6.5292648324462306</v>
      </c>
      <c r="S194">
        <v>2.6105325934143764</v>
      </c>
      <c r="T194">
        <v>-0.87988416462034991</v>
      </c>
      <c r="U194">
        <v>-3.3884486143306276</v>
      </c>
      <c r="V194">
        <v>0.83481560109210307</v>
      </c>
      <c r="W194">
        <v>8.5498593340110034</v>
      </c>
      <c r="X194">
        <v>1.8323955149357261</v>
      </c>
      <c r="Y194">
        <v>-2.3034512011842878</v>
      </c>
      <c r="Z194">
        <v>-0.27482957165001665</v>
      </c>
      <c r="AA194">
        <v>0.35294428867939587</v>
      </c>
      <c r="AB194">
        <v>3.2231630635429269</v>
      </c>
      <c r="AC194">
        <v>-0.35472645217686249</v>
      </c>
      <c r="AD194">
        <v>4.0001903440990247</v>
      </c>
      <c r="AE194">
        <v>4.6930570688269171</v>
      </c>
      <c r="AF194">
        <v>2.7704948317036013</v>
      </c>
      <c r="AG194">
        <v>2.9092404844603124</v>
      </c>
      <c r="AH194">
        <v>-1.4195798836063744</v>
      </c>
      <c r="AI194">
        <v>-3.012169221812556</v>
      </c>
      <c r="AJ194">
        <v>9.5468977103991364</v>
      </c>
      <c r="AK194">
        <v>13.849085268948102</v>
      </c>
      <c r="AL194">
        <v>18.202285952729767</v>
      </c>
      <c r="AM194">
        <v>5.9421090596776907</v>
      </c>
      <c r="AN194">
        <v>-3.3124487782966554</v>
      </c>
      <c r="AO194">
        <v>7.7336957979639891</v>
      </c>
      <c r="AP194">
        <v>-3.9043896563935903</v>
      </c>
      <c r="AQ194">
        <v>-3.7691132178345725</v>
      </c>
      <c r="AR194">
        <v>1.8555539940881687</v>
      </c>
      <c r="AS194">
        <v>-2.4948419926002288</v>
      </c>
      <c r="AT194">
        <v>-0.1212886055647715</v>
      </c>
      <c r="AU194">
        <v>-0.15890053308265806</v>
      </c>
      <c r="AV194">
        <v>2.1641025022208282</v>
      </c>
      <c r="AW194">
        <v>2.7211757409823463</v>
      </c>
      <c r="AX194">
        <v>6.3447959230965409</v>
      </c>
      <c r="AY194">
        <v>5.4099440910730721</v>
      </c>
      <c r="AZ194">
        <v>7.8151892286238791</v>
      </c>
      <c r="BA194">
        <v>-0.29645784588058177</v>
      </c>
      <c r="BB194">
        <v>6.8004214832209584</v>
      </c>
      <c r="BC194">
        <v>10.12845407202316</v>
      </c>
      <c r="BD194">
        <v>1.1075436261961613</v>
      </c>
      <c r="BE194">
        <v>4.6571195968623869</v>
      </c>
      <c r="BF194">
        <v>3.8249463280067459</v>
      </c>
      <c r="BG194">
        <v>13.543770621654588</v>
      </c>
      <c r="BH194">
        <v>6.5783563230427546</v>
      </c>
      <c r="BI194">
        <v>5.4895731527818725</v>
      </c>
      <c r="BJ194">
        <v>3.5346108175045856</v>
      </c>
      <c r="BK194">
        <v>-0.27925228495995214</v>
      </c>
      <c r="BL194">
        <v>4.480430621718881</v>
      </c>
      <c r="BM194">
        <v>-3.1673811762963879</v>
      </c>
      <c r="BN194">
        <v>-0.78032879690694301</v>
      </c>
      <c r="BO194">
        <v>5.1650513579769353</v>
      </c>
    </row>
    <row r="195" spans="1:67">
      <c r="A195" t="s">
        <v>1158</v>
      </c>
      <c r="B195" t="s">
        <v>1159</v>
      </c>
      <c r="C195" t="s">
        <v>784</v>
      </c>
      <c r="D195" t="s">
        <v>785</v>
      </c>
      <c r="AJ195">
        <v>-7.0155787930112297</v>
      </c>
      <c r="AK195">
        <v>2.5149786135026062</v>
      </c>
      <c r="AL195">
        <v>3.7383102946147062</v>
      </c>
      <c r="AM195">
        <v>5.2928020666259954</v>
      </c>
      <c r="AN195">
        <v>7.1028655383132531</v>
      </c>
      <c r="AO195">
        <v>6.1155428113642643</v>
      </c>
      <c r="AP195">
        <v>6.4490030785165686</v>
      </c>
      <c r="AQ195">
        <v>4.6405149616957289</v>
      </c>
      <c r="AR195">
        <v>4.6548918518212474</v>
      </c>
      <c r="AS195">
        <v>4.5609854097828304</v>
      </c>
      <c r="AT195">
        <v>1.2585694606656972</v>
      </c>
      <c r="AU195">
        <v>2.0358630412627292</v>
      </c>
      <c r="AV195">
        <v>3.498391213402499</v>
      </c>
      <c r="AW195">
        <v>4.9828445698604895</v>
      </c>
      <c r="AX195">
        <v>3.5068346143592066</v>
      </c>
      <c r="AY195">
        <v>6.1311364585550905</v>
      </c>
      <c r="AZ195">
        <v>7.0615346335674616</v>
      </c>
      <c r="BA195">
        <v>4.1999812644494199</v>
      </c>
      <c r="BB195">
        <v>2.8321840531889677</v>
      </c>
      <c r="BC195">
        <v>2.9346381805283244</v>
      </c>
      <c r="BD195">
        <v>5.0421878829294258</v>
      </c>
      <c r="BE195">
        <v>1.5452215712560928</v>
      </c>
      <c r="BF195">
        <v>0.85655708060644997</v>
      </c>
      <c r="BG195">
        <v>3.8369584935179688</v>
      </c>
      <c r="BH195">
        <v>4.3832986350727623</v>
      </c>
      <c r="BI195">
        <v>2.9535088416771771</v>
      </c>
      <c r="BJ195">
        <v>5.1400175740944576</v>
      </c>
      <c r="BK195">
        <v>5.945208477054976</v>
      </c>
      <c r="BL195">
        <v>4.4499878787878799</v>
      </c>
      <c r="BM195">
        <v>-2.0200707335765458</v>
      </c>
      <c r="BN195">
        <v>6.9349803838706521</v>
      </c>
      <c r="BO195">
        <v>5.2603644251319395</v>
      </c>
    </row>
    <row r="196" spans="1:67">
      <c r="A196" t="s">
        <v>1160</v>
      </c>
      <c r="B196" t="s">
        <v>1161</v>
      </c>
      <c r="C196" t="s">
        <v>784</v>
      </c>
      <c r="D196" t="s">
        <v>785</v>
      </c>
      <c r="F196">
        <v>-0.7775988607462665</v>
      </c>
      <c r="G196">
        <v>6.1732425378774707</v>
      </c>
      <c r="H196">
        <v>5.6808865000641902</v>
      </c>
      <c r="I196">
        <v>3.9390067602716812</v>
      </c>
      <c r="J196">
        <v>4.2115981116251646</v>
      </c>
      <c r="K196">
        <v>-4.2669941184129812E-2</v>
      </c>
      <c r="L196">
        <v>-6.4344726434320734</v>
      </c>
      <c r="M196">
        <v>2.4021479577118328</v>
      </c>
      <c r="N196">
        <v>11.768648760869766</v>
      </c>
      <c r="O196">
        <v>12.318496500702651</v>
      </c>
      <c r="P196">
        <v>9.5421785168935571</v>
      </c>
      <c r="Q196">
        <v>3.0035234344670982</v>
      </c>
      <c r="R196">
        <v>4.1750649980368166</v>
      </c>
      <c r="S196">
        <v>8.8277487853818144</v>
      </c>
      <c r="T196">
        <v>-0.11737885303999462</v>
      </c>
      <c r="U196">
        <v>7.460056012562049</v>
      </c>
      <c r="V196">
        <v>4.9850015159816508</v>
      </c>
      <c r="W196">
        <v>-0.58601887997326685</v>
      </c>
      <c r="X196">
        <v>5.6298799995154951</v>
      </c>
      <c r="Y196">
        <v>4.3644656982904166</v>
      </c>
      <c r="Z196">
        <v>-3.9061300509110737</v>
      </c>
      <c r="AA196">
        <v>-1.0630389284899877</v>
      </c>
      <c r="AB196">
        <v>-4.7521680669842681</v>
      </c>
      <c r="AC196">
        <v>0.31927270697404708</v>
      </c>
      <c r="AD196">
        <v>3.4311931610418753</v>
      </c>
      <c r="AE196">
        <v>2.6551790790468885</v>
      </c>
      <c r="AF196">
        <v>4.2113796640901739</v>
      </c>
      <c r="AG196">
        <v>3.6497300102638519</v>
      </c>
      <c r="AH196">
        <v>1.8987601929145512</v>
      </c>
      <c r="AI196">
        <v>8.3961911190601768</v>
      </c>
      <c r="AJ196">
        <v>-7.8949757038851374</v>
      </c>
      <c r="AK196">
        <v>2.6990062711145697</v>
      </c>
      <c r="AL196">
        <v>-0.23674190834339015</v>
      </c>
      <c r="AM196">
        <v>0.13845683303100031</v>
      </c>
      <c r="AN196">
        <v>3.2112381780840451</v>
      </c>
      <c r="AO196">
        <v>5.6170702438835178</v>
      </c>
      <c r="AP196">
        <v>6.6825917273757938</v>
      </c>
      <c r="AQ196">
        <v>6.8067859363520853</v>
      </c>
      <c r="AR196">
        <v>4.2076248705648993</v>
      </c>
      <c r="AS196">
        <v>5.4861715149519625</v>
      </c>
      <c r="AT196">
        <v>4.545460773103045</v>
      </c>
      <c r="AU196">
        <v>5.7066335146604956</v>
      </c>
      <c r="AV196">
        <v>-0.48036279145500771</v>
      </c>
      <c r="AW196">
        <v>11.698506393914897</v>
      </c>
      <c r="AX196">
        <v>5.9519027874825241</v>
      </c>
      <c r="AY196">
        <v>6.2363205184307446</v>
      </c>
      <c r="AZ196">
        <v>6.0467474507694732</v>
      </c>
      <c r="BA196">
        <v>6.281026860563756</v>
      </c>
      <c r="BB196">
        <v>4.6150964816971793</v>
      </c>
      <c r="BC196">
        <v>6.4626303574134312</v>
      </c>
      <c r="BD196">
        <v>4.0191832316588858</v>
      </c>
      <c r="BE196">
        <v>3.5400347525687152</v>
      </c>
      <c r="BF196">
        <v>5.8014633908544369</v>
      </c>
      <c r="BG196">
        <v>5.088244503854682</v>
      </c>
      <c r="BH196">
        <v>3.2420799045743678</v>
      </c>
      <c r="BI196">
        <v>2.4257797690395222</v>
      </c>
      <c r="BJ196">
        <v>1.5915675956682378</v>
      </c>
      <c r="BK196">
        <v>2.4554859089874554</v>
      </c>
      <c r="BL196">
        <v>3.1663511247951135</v>
      </c>
      <c r="BM196">
        <v>-2.5478675923529437</v>
      </c>
      <c r="BN196">
        <v>3.0434968496082888</v>
      </c>
      <c r="BO196">
        <v>3.9799462899246834</v>
      </c>
    </row>
    <row r="197" spans="1:67">
      <c r="A197" t="s">
        <v>1162</v>
      </c>
      <c r="B197" t="s">
        <v>1163</v>
      </c>
      <c r="C197" t="s">
        <v>784</v>
      </c>
      <c r="D197" t="s">
        <v>785</v>
      </c>
      <c r="F197">
        <v>7.0417384698717314</v>
      </c>
      <c r="G197">
        <v>8.3233125303139701</v>
      </c>
      <c r="H197">
        <v>8.6510470117775071</v>
      </c>
      <c r="I197">
        <v>7.0609237194136654</v>
      </c>
      <c r="J197">
        <v>9.2048424677642799</v>
      </c>
      <c r="K197">
        <v>7.4991483948436866</v>
      </c>
      <c r="L197">
        <v>6.223223354732113</v>
      </c>
      <c r="M197">
        <v>5.1804345979668227</v>
      </c>
      <c r="N197">
        <v>9.3752340360758097</v>
      </c>
      <c r="O197">
        <v>8.3979179464598133</v>
      </c>
      <c r="P197">
        <v>6.3654485740831035</v>
      </c>
      <c r="Q197">
        <v>7.1735749761500927</v>
      </c>
      <c r="R197">
        <v>6.3448958493385703</v>
      </c>
      <c r="S197">
        <v>2.9173784910371978</v>
      </c>
      <c r="T197">
        <v>-0.65456738628681421</v>
      </c>
      <c r="U197">
        <v>6.2430878135764516</v>
      </c>
      <c r="V197">
        <v>5.9506822347488537</v>
      </c>
      <c r="W197">
        <v>6.9319462254128723</v>
      </c>
      <c r="X197">
        <v>7.9068246876464059</v>
      </c>
      <c r="Y197">
        <v>4.2434653054678648</v>
      </c>
      <c r="Z197">
        <v>1.1479472252543701</v>
      </c>
      <c r="AA197">
        <v>-1.5566432078339716</v>
      </c>
      <c r="AB197">
        <v>-2.3419746327953987</v>
      </c>
      <c r="AC197">
        <v>5.9286865284107364</v>
      </c>
      <c r="AD197">
        <v>3.0974426445499006</v>
      </c>
      <c r="AE197">
        <v>4.9773674490755297</v>
      </c>
      <c r="AF197">
        <v>5.7689989036148006</v>
      </c>
      <c r="AG197">
        <v>5.8883727375965691</v>
      </c>
      <c r="AH197">
        <v>4.3349523970275072</v>
      </c>
      <c r="AI197">
        <v>-2.840540726202434</v>
      </c>
      <c r="AJ197">
        <v>2.3043911874036667</v>
      </c>
      <c r="AK197">
        <v>4.5640518145429354</v>
      </c>
      <c r="AL197">
        <v>4.6445270012571882</v>
      </c>
      <c r="AM197">
        <v>4.1859586128696975</v>
      </c>
      <c r="AN197">
        <v>4.5489881060350825</v>
      </c>
      <c r="AO197">
        <v>2.3137075087058321</v>
      </c>
      <c r="AP197">
        <v>4.8800872093023315</v>
      </c>
      <c r="AQ197">
        <v>5.5307256117982604</v>
      </c>
      <c r="AR197">
        <v>5.3896999277725399</v>
      </c>
      <c r="AS197">
        <v>3.2719645286232009</v>
      </c>
      <c r="AT197">
        <v>6.3134715546886042</v>
      </c>
      <c r="AU197">
        <v>0.91645938354156442</v>
      </c>
      <c r="AV197">
        <v>5.3419804689696093E-2</v>
      </c>
      <c r="AW197">
        <v>8.7486769265354667</v>
      </c>
      <c r="AX197">
        <v>-1.9869387333224182</v>
      </c>
      <c r="AY197">
        <v>-1.4094140244289548</v>
      </c>
      <c r="AZ197">
        <v>-1.1628066902935359</v>
      </c>
      <c r="BA197">
        <v>-1.8441342497794011</v>
      </c>
      <c r="BB197">
        <v>-1.9524251417230971</v>
      </c>
      <c r="BC197">
        <v>-0.41325411848491456</v>
      </c>
      <c r="BD197">
        <v>-0.35851062828751878</v>
      </c>
      <c r="BE197">
        <v>2.9275110489933809E-2</v>
      </c>
      <c r="BF197">
        <v>-0.30682665709996115</v>
      </c>
      <c r="BG197">
        <v>-1.1903634538532941</v>
      </c>
      <c r="BH197">
        <v>-1.0494436511055056</v>
      </c>
      <c r="BI197">
        <v>-1.2630029250527883</v>
      </c>
      <c r="BJ197">
        <v>-2.8859547585882126</v>
      </c>
      <c r="BK197">
        <v>-4.3606060606060595</v>
      </c>
      <c r="BL197">
        <v>1.6750631053092917</v>
      </c>
      <c r="BM197">
        <v>-4.2028067186737132</v>
      </c>
      <c r="BN197">
        <v>0.43264695357991911</v>
      </c>
      <c r="BO197">
        <v>3.36097255511649</v>
      </c>
    </row>
    <row r="198" spans="1:67">
      <c r="A198" t="s">
        <v>1164</v>
      </c>
      <c r="B198" t="s">
        <v>1165</v>
      </c>
      <c r="C198" t="s">
        <v>784</v>
      </c>
      <c r="D198" t="s">
        <v>785</v>
      </c>
    </row>
    <row r="199" spans="1:67">
      <c r="A199" t="s">
        <v>1166</v>
      </c>
      <c r="B199" t="s">
        <v>1167</v>
      </c>
      <c r="C199" t="s">
        <v>784</v>
      </c>
      <c r="D199" t="s">
        <v>785</v>
      </c>
      <c r="F199">
        <v>5.5349034756750228</v>
      </c>
      <c r="G199">
        <v>6.6144477687737719</v>
      </c>
      <c r="H199">
        <v>5.8737021161629599</v>
      </c>
      <c r="I199">
        <v>6.3107473825750731</v>
      </c>
      <c r="J199">
        <v>7.4689885299437293</v>
      </c>
      <c r="K199">
        <v>4.0779094339812048</v>
      </c>
      <c r="L199">
        <v>7.5444825289496578</v>
      </c>
      <c r="M199">
        <v>8.8755092337672039</v>
      </c>
      <c r="N199">
        <v>2.1207411616963157</v>
      </c>
      <c r="O199">
        <v>12.612605461891519</v>
      </c>
      <c r="P199">
        <v>6.6316529996385754</v>
      </c>
      <c r="Q199">
        <v>8.0156957015588688</v>
      </c>
      <c r="R199">
        <v>11.200672010790555</v>
      </c>
      <c r="S199">
        <v>1.1428593244949212</v>
      </c>
      <c r="T199">
        <v>-4.3476305450439412</v>
      </c>
      <c r="U199">
        <v>6.9002304138931123</v>
      </c>
      <c r="V199">
        <v>5.6025973129629989</v>
      </c>
      <c r="W199">
        <v>2.8159661528516722</v>
      </c>
      <c r="X199">
        <v>5.638937822701152</v>
      </c>
      <c r="Y199">
        <v>4.5893399236838235</v>
      </c>
      <c r="Z199">
        <v>1.6181042154184411</v>
      </c>
      <c r="AA199">
        <v>2.1353750775927409</v>
      </c>
      <c r="AB199">
        <v>-0.17311354825184821</v>
      </c>
      <c r="AC199">
        <v>-1.8799790893465342</v>
      </c>
      <c r="AD199">
        <v>2.8074388512947763</v>
      </c>
      <c r="AE199">
        <v>4.140955679719923</v>
      </c>
      <c r="AF199">
        <v>6.3813941349033456</v>
      </c>
      <c r="AG199">
        <v>7.489108289281404</v>
      </c>
      <c r="AH199">
        <v>6.4406392402760275</v>
      </c>
      <c r="AI199">
        <v>3.9505227632515414</v>
      </c>
      <c r="AJ199">
        <v>4.3682064626739958</v>
      </c>
      <c r="AK199">
        <v>1.0894764083123221</v>
      </c>
      <c r="AL199">
        <v>-2.0432765315769359</v>
      </c>
      <c r="AM199">
        <v>0.96483792534367296</v>
      </c>
      <c r="AN199">
        <v>4.2827804595035275</v>
      </c>
      <c r="AO199">
        <v>3.5042470691652738</v>
      </c>
      <c r="AP199">
        <v>4.4008677538124772</v>
      </c>
      <c r="AQ199">
        <v>4.8079629757332896</v>
      </c>
      <c r="AR199">
        <v>3.9065774400257851</v>
      </c>
      <c r="AS199">
        <v>3.8161780634697919</v>
      </c>
      <c r="AT199">
        <v>1.9436722958495949</v>
      </c>
      <c r="AU199">
        <v>0.77092402429121876</v>
      </c>
      <c r="AV199">
        <v>-0.93052119262306121</v>
      </c>
      <c r="AW199">
        <v>1.788735681571211</v>
      </c>
      <c r="AX199">
        <v>0.78184821592743958</v>
      </c>
      <c r="AY199">
        <v>1.6250341762967366</v>
      </c>
      <c r="AZ199">
        <v>2.506579645517732</v>
      </c>
      <c r="BA199">
        <v>0.31924792506308108</v>
      </c>
      <c r="BB199">
        <v>-3.1220794203332076</v>
      </c>
      <c r="BC199">
        <v>1.7376254759056593</v>
      </c>
      <c r="BD199">
        <v>-1.6961647806150353</v>
      </c>
      <c r="BE199">
        <v>-4.0572936076956125</v>
      </c>
      <c r="BF199">
        <v>-0.92264467452788779</v>
      </c>
      <c r="BG199">
        <v>0.79219030187536532</v>
      </c>
      <c r="BH199">
        <v>1.7920460455598288</v>
      </c>
      <c r="BI199">
        <v>2.0194853956131169</v>
      </c>
      <c r="BJ199">
        <v>3.5063452848123973</v>
      </c>
      <c r="BK199">
        <v>2.8493259343617865</v>
      </c>
      <c r="BL199">
        <v>2.6827599211807609</v>
      </c>
      <c r="BM199">
        <v>-8.3005165411776005</v>
      </c>
      <c r="BN199">
        <v>5.7374372185433913</v>
      </c>
      <c r="BO199">
        <v>6.8275108759406891</v>
      </c>
    </row>
    <row r="200" spans="1:67">
      <c r="A200" t="s">
        <v>1168</v>
      </c>
      <c r="B200" t="s">
        <v>1169</v>
      </c>
      <c r="C200" t="s">
        <v>784</v>
      </c>
      <c r="D200" t="s">
        <v>785</v>
      </c>
      <c r="F200">
        <v>6.9002855142294521</v>
      </c>
      <c r="G200">
        <v>3.3002585160209321</v>
      </c>
      <c r="H200">
        <v>4.7102913398507269</v>
      </c>
      <c r="I200">
        <v>4.2124773594568268</v>
      </c>
      <c r="J200">
        <v>6.1679747564274265</v>
      </c>
      <c r="K200">
        <v>1.9915033352727534</v>
      </c>
      <c r="L200">
        <v>9.1503672041403377</v>
      </c>
      <c r="M200">
        <v>4.5270738418807639</v>
      </c>
      <c r="N200">
        <v>4.701151407707755</v>
      </c>
      <c r="O200">
        <v>5.5534257331189423</v>
      </c>
      <c r="P200">
        <v>5.538151942856004</v>
      </c>
      <c r="Q200">
        <v>6.6312974757339589</v>
      </c>
      <c r="R200">
        <v>7.3028129074068175</v>
      </c>
      <c r="S200">
        <v>8.3815254365003256</v>
      </c>
      <c r="T200">
        <v>6.8524447141295326</v>
      </c>
      <c r="U200">
        <v>7.5259495314272868</v>
      </c>
      <c r="V200">
        <v>11.494081601995518</v>
      </c>
      <c r="W200">
        <v>12.028729946121587</v>
      </c>
      <c r="X200">
        <v>11.862146971295019</v>
      </c>
      <c r="Y200">
        <v>11.712145943447979</v>
      </c>
      <c r="Z200">
        <v>9.1704588494291244</v>
      </c>
      <c r="AA200">
        <v>-1.3976177180351499</v>
      </c>
      <c r="AB200">
        <v>-3.0426178847185952</v>
      </c>
      <c r="AC200">
        <v>2.8165994460145782</v>
      </c>
      <c r="AD200">
        <v>4.5231356783092025</v>
      </c>
      <c r="AE200">
        <v>4.9648356657136219</v>
      </c>
      <c r="AF200">
        <v>7.5823043760417761</v>
      </c>
      <c r="AG200">
        <v>5.9153720655604474</v>
      </c>
      <c r="AH200">
        <v>6.9352039110352308</v>
      </c>
      <c r="AI200">
        <v>4.1232828794173884</v>
      </c>
      <c r="AJ200">
        <v>3.4936501549147181</v>
      </c>
      <c r="AK200">
        <v>1.6964280112470078</v>
      </c>
      <c r="AL200">
        <v>4.9363594147528147</v>
      </c>
      <c r="AM200">
        <v>5.3179176602394165</v>
      </c>
      <c r="AN200">
        <v>6.8228103035857828</v>
      </c>
      <c r="AO200">
        <v>1.5737851317500571</v>
      </c>
      <c r="AP200">
        <v>4.2425161026985876</v>
      </c>
      <c r="AQ200">
        <v>6.8037755808063594E-2</v>
      </c>
      <c r="AR200">
        <v>-1.36607971240079</v>
      </c>
      <c r="AS200">
        <v>-2.314140568190453</v>
      </c>
      <c r="AT200">
        <v>-0.83405471674609544</v>
      </c>
      <c r="AU200">
        <v>-2.1404394998569387E-2</v>
      </c>
      <c r="AV200">
        <v>4.3207454855159142</v>
      </c>
      <c r="AW200">
        <v>4.0574183636377086</v>
      </c>
      <c r="AX200">
        <v>2.1334906645960103</v>
      </c>
      <c r="AY200">
        <v>4.8071171926837621</v>
      </c>
      <c r="AZ200">
        <v>5.4216228721823541</v>
      </c>
      <c r="BA200">
        <v>6.4962921197090964</v>
      </c>
      <c r="BB200">
        <v>-0.26113732808028089</v>
      </c>
      <c r="BC200">
        <v>11.095231268552055</v>
      </c>
      <c r="BD200">
        <v>4.2863712070228246</v>
      </c>
      <c r="BE200">
        <v>-0.70804311231688644</v>
      </c>
      <c r="BF200">
        <v>8.2930764894047115</v>
      </c>
      <c r="BG200">
        <v>5.3012385923702539</v>
      </c>
      <c r="BH200">
        <v>2.9571517348710614</v>
      </c>
      <c r="BI200">
        <v>4.2680258331458276</v>
      </c>
      <c r="BJ200">
        <v>4.8100788555404108</v>
      </c>
      <c r="BK200">
        <v>3.2042503407663929</v>
      </c>
      <c r="BL200">
        <v>-0.40185510068000951</v>
      </c>
      <c r="BM200">
        <v>-0.81978539097191572</v>
      </c>
      <c r="BN200">
        <v>4.0167373178031198</v>
      </c>
      <c r="BO200">
        <v>7.5439465340679135E-2</v>
      </c>
    </row>
    <row r="201" spans="1:67">
      <c r="A201" t="s">
        <v>1170</v>
      </c>
      <c r="B201" t="s">
        <v>1171</v>
      </c>
      <c r="C201" t="s">
        <v>784</v>
      </c>
      <c r="D201" t="s">
        <v>785</v>
      </c>
      <c r="AN201">
        <v>7.1185118237428782</v>
      </c>
      <c r="AO201">
        <v>1.2151507733078972</v>
      </c>
      <c r="AP201">
        <v>14.667225162375047</v>
      </c>
      <c r="AQ201">
        <v>14.334203475552826</v>
      </c>
      <c r="AR201">
        <v>8.2804294037166102</v>
      </c>
      <c r="AS201">
        <v>-8.5561832906562216</v>
      </c>
      <c r="AT201">
        <v>-9.3106381675533072</v>
      </c>
      <c r="AU201">
        <v>-12.489191760806392</v>
      </c>
      <c r="AV201">
        <v>14.015865494575181</v>
      </c>
      <c r="AW201">
        <v>21.925239493344691</v>
      </c>
      <c r="AX201">
        <v>11.290651182927135</v>
      </c>
      <c r="AY201">
        <v>-0.99655610347707579</v>
      </c>
      <c r="AZ201">
        <v>3.7882815208598117</v>
      </c>
      <c r="BA201">
        <v>7.4291822554783522</v>
      </c>
      <c r="BB201">
        <v>8.5934908789386384</v>
      </c>
      <c r="BC201">
        <v>5.7773620562941943</v>
      </c>
      <c r="BD201">
        <v>9.6008084891359431</v>
      </c>
      <c r="BE201">
        <v>6.0964565632615404</v>
      </c>
      <c r="BF201">
        <v>4.6985698655223445</v>
      </c>
      <c r="BG201">
        <v>-0.15786665085529705</v>
      </c>
      <c r="BH201">
        <v>3.7212996711478752</v>
      </c>
      <c r="BI201">
        <v>8.8646188199593468</v>
      </c>
      <c r="BJ201">
        <v>1.419367562947869</v>
      </c>
      <c r="BK201">
        <v>1.2270773778270296</v>
      </c>
      <c r="BL201">
        <v>1.3626874655806205</v>
      </c>
      <c r="BM201">
        <v>-11.318466106513355</v>
      </c>
      <c r="BN201">
        <v>7.0119822759200332</v>
      </c>
      <c r="BO201">
        <v>3.9329769599978874</v>
      </c>
    </row>
    <row r="202" spans="1:67">
      <c r="A202" t="s">
        <v>1172</v>
      </c>
      <c r="B202" t="s">
        <v>1173</v>
      </c>
      <c r="C202" t="s">
        <v>784</v>
      </c>
      <c r="D202" t="s">
        <v>785</v>
      </c>
      <c r="Z202">
        <v>4.6167002336148926</v>
      </c>
      <c r="AA202">
        <v>-3.6269876698806769</v>
      </c>
      <c r="AB202">
        <v>-1.1572598616642864</v>
      </c>
      <c r="AC202">
        <v>5.963267574511093</v>
      </c>
      <c r="AD202">
        <v>-2.5015893452263356</v>
      </c>
      <c r="AE202">
        <v>5.6608358582583236</v>
      </c>
      <c r="AF202">
        <v>-2.3656812964847944</v>
      </c>
      <c r="AG202">
        <v>0.84443116923991113</v>
      </c>
      <c r="AH202">
        <v>5.0159439000687627</v>
      </c>
      <c r="AI202">
        <v>3.9869051827844544</v>
      </c>
      <c r="AJ202">
        <v>5.4824178113960897E-2</v>
      </c>
      <c r="AK202">
        <v>5.5769250864418751</v>
      </c>
      <c r="AL202">
        <v>2.9441558269851669</v>
      </c>
      <c r="AM202">
        <v>4.856537256328977</v>
      </c>
      <c r="AN202">
        <v>4.4008402492601704</v>
      </c>
      <c r="AO202">
        <v>3.1125086794909578</v>
      </c>
      <c r="AP202">
        <v>-1.2131573113450003</v>
      </c>
      <c r="AQ202">
        <v>1.6181377743905898</v>
      </c>
      <c r="AR202">
        <v>4.9522926671070451</v>
      </c>
      <c r="AS202">
        <v>-1.6590966734461574</v>
      </c>
      <c r="AT202">
        <v>1.1018223169149621</v>
      </c>
      <c r="AU202">
        <v>2.1299480926883803</v>
      </c>
      <c r="AV202">
        <v>2.0810269122572151</v>
      </c>
      <c r="AW202">
        <v>4.0993171812515641</v>
      </c>
      <c r="AX202">
        <v>2.5200249633925864</v>
      </c>
      <c r="AY202">
        <v>2.2445977634781116</v>
      </c>
      <c r="AZ202">
        <v>0.39184338382423789</v>
      </c>
      <c r="BA202">
        <v>2.1552098871173229</v>
      </c>
      <c r="BB202">
        <v>-0.56157656623950913</v>
      </c>
      <c r="BC202">
        <v>3.7165686817269119</v>
      </c>
      <c r="BD202">
        <v>3.8496303435089771</v>
      </c>
      <c r="BE202">
        <v>1.0577714052123071</v>
      </c>
      <c r="BF202">
        <v>3.1472222393269362</v>
      </c>
      <c r="BG202">
        <v>3.6168808721905918</v>
      </c>
      <c r="BH202">
        <v>3.5761620023981635</v>
      </c>
      <c r="BI202">
        <v>3.6507286783933068</v>
      </c>
      <c r="BJ202">
        <v>3.9960494797597619</v>
      </c>
      <c r="BK202">
        <v>2.8942662282336755</v>
      </c>
      <c r="BL202">
        <v>1.0015372093456136</v>
      </c>
      <c r="BM202">
        <v>-10.311276721594794</v>
      </c>
      <c r="BN202">
        <v>-3.4341882041140792</v>
      </c>
      <c r="BO202">
        <v>8.2166685041628256</v>
      </c>
    </row>
    <row r="203" spans="1:67">
      <c r="A203" t="s">
        <v>1174</v>
      </c>
      <c r="B203" t="s">
        <v>1175</v>
      </c>
      <c r="C203" t="s">
        <v>784</v>
      </c>
      <c r="D203" t="s">
        <v>785</v>
      </c>
      <c r="F203">
        <v>4.3036350325595549</v>
      </c>
      <c r="G203">
        <v>5.7354323947911467</v>
      </c>
      <c r="H203">
        <v>5.2877177551560379</v>
      </c>
      <c r="I203">
        <v>6.3659234671704041</v>
      </c>
      <c r="J203">
        <v>5.5160243510490972</v>
      </c>
      <c r="K203">
        <v>5.9008429811998155</v>
      </c>
      <c r="L203">
        <v>4.2909903811294754</v>
      </c>
      <c r="M203">
        <v>5.9402108730618721</v>
      </c>
      <c r="N203">
        <v>5.3214695456375267</v>
      </c>
      <c r="O203">
        <v>2.7852410345285534</v>
      </c>
      <c r="P203">
        <v>3.7044766170725154</v>
      </c>
      <c r="Q203">
        <v>5.3557933786499348</v>
      </c>
      <c r="R203">
        <v>6.1315535048049838</v>
      </c>
      <c r="S203">
        <v>0.84075320240664553</v>
      </c>
      <c r="T203">
        <v>0.10164485186005834</v>
      </c>
      <c r="U203">
        <v>4.9011880041008169</v>
      </c>
      <c r="V203">
        <v>3.8181900757806204</v>
      </c>
      <c r="W203">
        <v>4.3734989495255689</v>
      </c>
      <c r="X203">
        <v>3.8417585494123045</v>
      </c>
      <c r="Y203">
        <v>1.0119152922009107</v>
      </c>
      <c r="Z203">
        <v>1.9479597026891042</v>
      </c>
      <c r="AA203">
        <v>0.18612375448083185</v>
      </c>
      <c r="AB203">
        <v>3.1604628041935143</v>
      </c>
      <c r="AC203">
        <v>4.8031647908623825</v>
      </c>
      <c r="AD203">
        <v>3.7423146984191646</v>
      </c>
      <c r="AE203">
        <v>3.1896941459967678</v>
      </c>
      <c r="AF203">
        <v>3.5288369619013338</v>
      </c>
      <c r="AG203">
        <v>4.6849876258991685</v>
      </c>
      <c r="AH203">
        <v>3.8150243724710293</v>
      </c>
      <c r="AI203">
        <v>2.7286738390021554</v>
      </c>
      <c r="AJ203">
        <v>1.1278836363623981</v>
      </c>
      <c r="AK203">
        <v>1.9559080128851463</v>
      </c>
      <c r="AL203">
        <v>1.1806921085718329</v>
      </c>
      <c r="AM203">
        <v>3.1414381934593507</v>
      </c>
      <c r="AN203">
        <v>2.6928750260502028</v>
      </c>
      <c r="AO203">
        <v>2.9250940867704855</v>
      </c>
      <c r="AP203">
        <v>3.4269974941532553</v>
      </c>
      <c r="AQ203">
        <v>2.8410611721131147</v>
      </c>
      <c r="AR203">
        <v>3.5319984363742378</v>
      </c>
      <c r="AS203">
        <v>4.0369016534101121</v>
      </c>
      <c r="AT203">
        <v>1.5318982875968175</v>
      </c>
      <c r="AU203">
        <v>1.5279069737160711</v>
      </c>
      <c r="AV203">
        <v>2.0188019350545261</v>
      </c>
      <c r="AW203">
        <v>3.2110864743824123</v>
      </c>
      <c r="AX203">
        <v>2.7678126091228279</v>
      </c>
      <c r="AY203">
        <v>2.9197879259141928</v>
      </c>
      <c r="AZ203">
        <v>2.5439566655709456</v>
      </c>
      <c r="BA203">
        <v>0.35899847006429297</v>
      </c>
      <c r="BB203">
        <v>-3.4000538427444269</v>
      </c>
      <c r="BC203">
        <v>2.9152854235633612</v>
      </c>
      <c r="BD203">
        <v>1.6605514430907391</v>
      </c>
      <c r="BE203">
        <v>1.2538709120985629</v>
      </c>
      <c r="BF203">
        <v>1.3984991589828439</v>
      </c>
      <c r="BG203">
        <v>1.9160439590391718</v>
      </c>
      <c r="BH203">
        <v>2.1264879829195422</v>
      </c>
      <c r="BI203">
        <v>1.7360117074404826</v>
      </c>
      <c r="BJ203">
        <v>2.3778521437805722</v>
      </c>
      <c r="BK203">
        <v>2.2398032835390609</v>
      </c>
      <c r="BL203">
        <v>1.6954352430327475</v>
      </c>
      <c r="BM203">
        <v>-4.3616905008838245</v>
      </c>
      <c r="BN203">
        <v>5.5017641704828861</v>
      </c>
      <c r="BO203">
        <v>2.4086325775151778</v>
      </c>
    </row>
    <row r="204" spans="1:67">
      <c r="A204" t="s">
        <v>1176</v>
      </c>
      <c r="B204" t="s">
        <v>1177</v>
      </c>
      <c r="C204" t="s">
        <v>784</v>
      </c>
      <c r="D204" t="s">
        <v>785</v>
      </c>
      <c r="K204">
        <v>9.5765782353702207</v>
      </c>
      <c r="L204">
        <v>-4.7391666169555862</v>
      </c>
      <c r="M204">
        <v>14.930802142237141</v>
      </c>
      <c r="N204">
        <v>-2.6859410145686553</v>
      </c>
      <c r="O204">
        <v>1.6267113386722514</v>
      </c>
      <c r="P204">
        <v>12.002408647614388</v>
      </c>
      <c r="Q204">
        <v>-4.6950787322161602</v>
      </c>
      <c r="R204">
        <v>7.8025611190780637</v>
      </c>
      <c r="S204">
        <v>18.001048910189937</v>
      </c>
      <c r="T204">
        <v>-4.9027023963760001</v>
      </c>
      <c r="U204">
        <v>8.2036163255569789</v>
      </c>
      <c r="V204">
        <v>2.0789927029723145</v>
      </c>
      <c r="W204">
        <v>9.892559300284006</v>
      </c>
      <c r="X204">
        <v>3.9259241774220754</v>
      </c>
      <c r="Y204">
        <v>0.4849012603717</v>
      </c>
      <c r="Z204">
        <v>2.6460228773471215</v>
      </c>
      <c r="AA204">
        <v>1.6985895569612524</v>
      </c>
      <c r="AB204">
        <v>2.4196553579181739</v>
      </c>
      <c r="AC204">
        <v>2.3602924498909061</v>
      </c>
      <c r="AD204">
        <v>-1.1707882157379004</v>
      </c>
      <c r="AE204">
        <v>13.547794530604847</v>
      </c>
      <c r="AF204">
        <v>1.2698303226484313</v>
      </c>
      <c r="AG204">
        <v>-3.5986321422836482</v>
      </c>
      <c r="AH204">
        <v>2.1578809253815621</v>
      </c>
      <c r="AI204">
        <v>0.1298832073201055</v>
      </c>
      <c r="AJ204">
        <v>3.6555268191393679</v>
      </c>
      <c r="AK204">
        <v>-1.4573882906478701</v>
      </c>
      <c r="AL204">
        <v>-1.297682602348587</v>
      </c>
      <c r="AM204">
        <v>-1.6663251641332124</v>
      </c>
      <c r="AN204">
        <v>-0.38896941690313724</v>
      </c>
      <c r="AO204">
        <v>-0.66853656265828931</v>
      </c>
      <c r="AP204">
        <v>-0.1228146515013151</v>
      </c>
      <c r="AQ204">
        <v>1.7333743999617326</v>
      </c>
      <c r="AR204">
        <v>1.8905327874559248</v>
      </c>
      <c r="AS204">
        <v>3.2454110130819345</v>
      </c>
      <c r="AT204">
        <v>-0.34159557808905561</v>
      </c>
      <c r="AU204">
        <v>0.84618148280858918</v>
      </c>
      <c r="AV204">
        <v>2.1269288487260951</v>
      </c>
      <c r="AW204">
        <v>0.97125912998754416</v>
      </c>
      <c r="AX204">
        <v>0.30997347618000504</v>
      </c>
      <c r="AY204">
        <v>0.88958411759760736</v>
      </c>
      <c r="AZ204">
        <v>1.7049756380300209</v>
      </c>
      <c r="BA204">
        <v>6.7675506631275084E-3</v>
      </c>
      <c r="BB204">
        <v>-4.2313918306944629</v>
      </c>
      <c r="BC204">
        <v>-2.4660641898174021</v>
      </c>
      <c r="BD204">
        <v>-2.9619574542722944</v>
      </c>
      <c r="BE204">
        <v>-0.92753771253207162</v>
      </c>
      <c r="BF204">
        <v>0.39880141434693428</v>
      </c>
      <c r="BG204">
        <v>0.59355445294228559</v>
      </c>
      <c r="BH204">
        <v>1.6651056301384131</v>
      </c>
      <c r="BI204">
        <v>2.3696444471055003</v>
      </c>
      <c r="BJ204">
        <v>4.37450238290198</v>
      </c>
      <c r="BK204">
        <v>1.8320282278764637</v>
      </c>
      <c r="BL204">
        <v>2.6999344986305118</v>
      </c>
      <c r="BM204">
        <v>-7.0509906543348393</v>
      </c>
      <c r="BN204">
        <v>2.0947889683745444</v>
      </c>
      <c r="BO204">
        <v>4.4660745900027052</v>
      </c>
    </row>
    <row r="205" spans="1:67">
      <c r="A205" t="s">
        <v>1178</v>
      </c>
      <c r="B205" t="s">
        <v>1179</v>
      </c>
      <c r="C205" t="s">
        <v>784</v>
      </c>
      <c r="D205" t="s">
        <v>785</v>
      </c>
      <c r="AT205">
        <v>3.8981866623390715</v>
      </c>
      <c r="AU205">
        <v>7.182151680215128</v>
      </c>
      <c r="AV205">
        <v>3.7199586765490551</v>
      </c>
      <c r="AW205">
        <v>19.218915339789348</v>
      </c>
      <c r="AX205">
        <v>7.492758482790677</v>
      </c>
      <c r="AY205">
        <v>26.170245670303188</v>
      </c>
      <c r="AZ205">
        <v>17.985656816026349</v>
      </c>
      <c r="BA205">
        <v>17.663556362608944</v>
      </c>
      <c r="BB205">
        <v>11.956561128908589</v>
      </c>
      <c r="BC205">
        <v>19.592331533785895</v>
      </c>
      <c r="BD205">
        <v>13.375176410792861</v>
      </c>
      <c r="BE205">
        <v>4.7300118436078407</v>
      </c>
      <c r="BF205">
        <v>5.5560406430660692</v>
      </c>
      <c r="BG205">
        <v>5.3343232919645942</v>
      </c>
      <c r="BH205">
        <v>4.7533457243873727</v>
      </c>
      <c r="BI205">
        <v>3.0641918843015645</v>
      </c>
      <c r="BJ205">
        <v>-1.4976047022783803</v>
      </c>
      <c r="BK205">
        <v>1.2348722019106475</v>
      </c>
      <c r="BL205">
        <v>0.6882409595817478</v>
      </c>
      <c r="BM205">
        <v>-3.5576039990947663</v>
      </c>
      <c r="BN205">
        <v>1.6268467246828777</v>
      </c>
      <c r="BO205">
        <v>4.2088712407766025</v>
      </c>
    </row>
    <row r="206" spans="1:67">
      <c r="A206" t="s">
        <v>1180</v>
      </c>
      <c r="B206" t="s">
        <v>1181</v>
      </c>
      <c r="C206" t="s">
        <v>784</v>
      </c>
      <c r="D206" t="s">
        <v>785</v>
      </c>
      <c r="AJ206">
        <v>-12.918210729821141</v>
      </c>
      <c r="AK206">
        <v>-8.7672284522823958</v>
      </c>
      <c r="AL206">
        <v>1.5288344966407692</v>
      </c>
      <c r="AM206">
        <v>3.9319427296250637</v>
      </c>
      <c r="AN206">
        <v>6.2335114837135137</v>
      </c>
      <c r="AO206">
        <v>3.9077020881615852</v>
      </c>
      <c r="AP206">
        <v>-4.8490627379703</v>
      </c>
      <c r="AQ206">
        <v>-2.0298129057172076</v>
      </c>
      <c r="AR206">
        <v>-0.37666070575899369</v>
      </c>
      <c r="AS206">
        <v>2.4612634592268989</v>
      </c>
      <c r="AT206">
        <v>5.2181362567370826</v>
      </c>
      <c r="AU206">
        <v>5.7029916504377098</v>
      </c>
      <c r="AV206">
        <v>2.3411473291952092</v>
      </c>
      <c r="AW206">
        <v>10.428113018097648</v>
      </c>
      <c r="AX206">
        <v>4.6681480508486999</v>
      </c>
      <c r="AY206">
        <v>8.0288110759916265</v>
      </c>
      <c r="AZ206">
        <v>7.2338077436280486</v>
      </c>
      <c r="BA206">
        <v>9.3074671707733785</v>
      </c>
      <c r="BB206">
        <v>-5.5173944080543862</v>
      </c>
      <c r="BC206">
        <v>-3.901236280186211</v>
      </c>
      <c r="BD206">
        <v>4.5170869643391427</v>
      </c>
      <c r="BE206">
        <v>1.9249932624075399</v>
      </c>
      <c r="BF206">
        <v>0.26996387863380278</v>
      </c>
      <c r="BG206">
        <v>4.1206749631981268</v>
      </c>
      <c r="BH206">
        <v>3.1605038704108921</v>
      </c>
      <c r="BI206">
        <v>2.8575460568876991</v>
      </c>
      <c r="BJ206">
        <v>8.196506503096245</v>
      </c>
      <c r="BK206">
        <v>6.0290190412821403</v>
      </c>
      <c r="BL206">
        <v>3.8531638334821139</v>
      </c>
      <c r="BM206">
        <v>-3.6775107912179692</v>
      </c>
      <c r="BN206">
        <v>5.7088945576632142</v>
      </c>
      <c r="BO206">
        <v>4.5953609459234599</v>
      </c>
    </row>
    <row r="207" spans="1:67">
      <c r="A207" t="s">
        <v>1182</v>
      </c>
      <c r="B207" t="s">
        <v>1183</v>
      </c>
      <c r="C207" t="s">
        <v>784</v>
      </c>
      <c r="D207" t="s">
        <v>785</v>
      </c>
      <c r="AI207">
        <v>-2.9999956424312586</v>
      </c>
      <c r="AJ207">
        <v>-5.0469394514246204</v>
      </c>
      <c r="AK207">
        <v>-14.531073772926362</v>
      </c>
      <c r="AL207">
        <v>-8.6685403426042313</v>
      </c>
      <c r="AM207">
        <v>-12.569755980215092</v>
      </c>
      <c r="AN207">
        <v>-4.1435284052601986</v>
      </c>
      <c r="AO207">
        <v>-3.7550694383593992</v>
      </c>
      <c r="AP207">
        <v>1.3999158052963026</v>
      </c>
      <c r="AQ207">
        <v>-5.2999616266238974</v>
      </c>
      <c r="AR207">
        <v>6.3999146914410119</v>
      </c>
      <c r="AS207">
        <v>10.000066813651486</v>
      </c>
      <c r="AT207">
        <v>5.1000512257256787</v>
      </c>
      <c r="AU207">
        <v>4.6999919091425824</v>
      </c>
      <c r="AV207">
        <v>7.2999523452818948</v>
      </c>
      <c r="AW207">
        <v>7.1999478695485664</v>
      </c>
      <c r="AX207">
        <v>6.3999654479946884</v>
      </c>
      <c r="AY207">
        <v>8.200068254563206</v>
      </c>
      <c r="AZ207">
        <v>8.4999777691651133</v>
      </c>
      <c r="BA207">
        <v>5.1999692640495709</v>
      </c>
      <c r="BB207">
        <v>-7.7999939127127504</v>
      </c>
      <c r="BC207">
        <v>4.4999999992067217</v>
      </c>
      <c r="BD207">
        <v>4.3000291856774879</v>
      </c>
      <c r="BE207">
        <v>4.0240861574692133</v>
      </c>
      <c r="BF207">
        <v>1.75542214874298</v>
      </c>
      <c r="BG207">
        <v>0.73626722176567228</v>
      </c>
      <c r="BH207">
        <v>-1.9727192258040844</v>
      </c>
      <c r="BI207">
        <v>0.19369007126053361</v>
      </c>
      <c r="BJ207">
        <v>1.8257900640183351</v>
      </c>
      <c r="BK207">
        <v>2.8072454105960105</v>
      </c>
      <c r="BL207">
        <v>2.198075713350093</v>
      </c>
      <c r="BM207">
        <v>-2.6536545010277308</v>
      </c>
      <c r="BN207">
        <v>5.6142903757834546</v>
      </c>
      <c r="BO207">
        <v>-2.0697115252773131</v>
      </c>
    </row>
    <row r="208" spans="1:67">
      <c r="A208" t="s">
        <v>1184</v>
      </c>
      <c r="B208" t="s">
        <v>1185</v>
      </c>
      <c r="C208" t="s">
        <v>784</v>
      </c>
      <c r="D208" t="s">
        <v>785</v>
      </c>
      <c r="F208">
        <v>-4.2975260471688159</v>
      </c>
      <c r="G208">
        <v>11.333798368392095</v>
      </c>
      <c r="H208">
        <v>-9.8204444132635444</v>
      </c>
      <c r="I208">
        <v>-12.464992682669646</v>
      </c>
      <c r="J208">
        <v>7.0095292550611958</v>
      </c>
      <c r="K208">
        <v>7.0089108227526111</v>
      </c>
      <c r="L208">
        <v>6.9160175100430052</v>
      </c>
      <c r="M208">
        <v>7.0137809275822462</v>
      </c>
      <c r="N208">
        <v>11.007370149099941</v>
      </c>
      <c r="O208">
        <v>6.0014252465370248</v>
      </c>
      <c r="P208">
        <v>1.2066407013311249</v>
      </c>
      <c r="Q208">
        <v>0.26306826674517936</v>
      </c>
      <c r="R208">
        <v>3.4380881406714821</v>
      </c>
      <c r="S208">
        <v>1.4098235736846902</v>
      </c>
      <c r="T208">
        <v>-2.1138254244171435</v>
      </c>
      <c r="U208">
        <v>19.504577172501044</v>
      </c>
      <c r="V208">
        <v>1.9941094812187856</v>
      </c>
      <c r="W208">
        <v>9.1508408157392012</v>
      </c>
      <c r="X208">
        <v>11.869908038006344</v>
      </c>
      <c r="Y208">
        <v>8.9516123295759087</v>
      </c>
      <c r="Z208">
        <v>5.4361994787405621</v>
      </c>
      <c r="AA208">
        <v>1.8108464472451118</v>
      </c>
      <c r="AB208">
        <v>5.9803499344614437</v>
      </c>
      <c r="AC208">
        <v>-4.2407732775920834</v>
      </c>
      <c r="AD208">
        <v>4.4027483326600816</v>
      </c>
      <c r="AE208">
        <v>5.4721374876963296</v>
      </c>
      <c r="AF208">
        <v>-2.4036108851248628E-2</v>
      </c>
      <c r="AG208">
        <v>4.4988249932554254</v>
      </c>
      <c r="AH208">
        <v>-3.6534273190824251E-2</v>
      </c>
      <c r="AI208">
        <v>-2.3992910975792228</v>
      </c>
      <c r="AJ208">
        <v>-2.5143796539005905</v>
      </c>
      <c r="AK208">
        <v>5.8727252408178146</v>
      </c>
      <c r="AL208">
        <v>-8.1086918776303492</v>
      </c>
      <c r="AM208">
        <v>-50.248067105802505</v>
      </c>
      <c r="AN208">
        <v>35.224078310734853</v>
      </c>
      <c r="AO208">
        <v>12.74569576291573</v>
      </c>
      <c r="AP208">
        <v>13.849752481867398</v>
      </c>
      <c r="AQ208">
        <v>8.8586694939444328</v>
      </c>
      <c r="AR208">
        <v>4.3518883240230082</v>
      </c>
      <c r="AS208">
        <v>8.3708769029120305</v>
      </c>
      <c r="AT208">
        <v>8.4845845671485733</v>
      </c>
      <c r="AU208">
        <v>13.19207117123014</v>
      </c>
      <c r="AV208">
        <v>2.2023802379365094</v>
      </c>
      <c r="AW208">
        <v>7.4476652712637019</v>
      </c>
      <c r="AX208">
        <v>9.3778981033486843</v>
      </c>
      <c r="AY208">
        <v>9.227081885502912</v>
      </c>
      <c r="AZ208">
        <v>7.6332953153615648</v>
      </c>
      <c r="BA208">
        <v>11.161254727740854</v>
      </c>
      <c r="BB208">
        <v>6.2482607225801416</v>
      </c>
      <c r="BC208">
        <v>7.3346480896814086</v>
      </c>
      <c r="BD208">
        <v>7.958394126918094</v>
      </c>
      <c r="BE208">
        <v>8.641513396888385</v>
      </c>
      <c r="BF208">
        <v>4.7198502708332342</v>
      </c>
      <c r="BG208">
        <v>6.1671672446638581</v>
      </c>
      <c r="BH208">
        <v>8.8568419983240432</v>
      </c>
      <c r="BI208">
        <v>5.9707562042725613</v>
      </c>
      <c r="BJ208">
        <v>3.9288755856289725</v>
      </c>
      <c r="BK208">
        <v>8.536158375219685</v>
      </c>
      <c r="BL208">
        <v>9.4622864304338066</v>
      </c>
      <c r="BM208">
        <v>-3.3765171928835827</v>
      </c>
      <c r="BN208">
        <v>10.875771250697269</v>
      </c>
      <c r="BO208">
        <v>8.1603838753483444</v>
      </c>
    </row>
    <row r="209" spans="1:67">
      <c r="A209" t="s">
        <v>1186</v>
      </c>
      <c r="B209" t="s">
        <v>1187</v>
      </c>
      <c r="C209" t="s">
        <v>784</v>
      </c>
      <c r="D209" t="s">
        <v>785</v>
      </c>
      <c r="F209">
        <v>4.2137479743672657</v>
      </c>
      <c r="G209">
        <v>3.4079004044896379</v>
      </c>
      <c r="H209">
        <v>5.2915761730143487</v>
      </c>
      <c r="I209">
        <v>7.7589754373534277</v>
      </c>
      <c r="J209">
        <v>-0.5414281558705909</v>
      </c>
      <c r="K209">
        <v>1.2427204585001164</v>
      </c>
      <c r="L209">
        <v>6.1092116012545432</v>
      </c>
      <c r="M209">
        <v>4.6020103189622574</v>
      </c>
      <c r="N209">
        <v>5.7774142598627094</v>
      </c>
      <c r="O209">
        <v>5.9071930904676577</v>
      </c>
      <c r="P209">
        <v>0.61578866242160757</v>
      </c>
      <c r="Q209">
        <v>-1.7618511137033579</v>
      </c>
      <c r="R209">
        <v>3.8845632866175919</v>
      </c>
      <c r="S209">
        <v>2.4759534704018193</v>
      </c>
      <c r="T209">
        <v>6.8939287522359791</v>
      </c>
      <c r="U209">
        <v>2.6054588403869445</v>
      </c>
      <c r="V209">
        <v>6.2211696861419057</v>
      </c>
      <c r="W209">
        <v>6.1373676932850572</v>
      </c>
      <c r="X209">
        <v>-2.5375466375815279</v>
      </c>
      <c r="Y209">
        <v>6.5142506418904844</v>
      </c>
      <c r="Z209">
        <v>6.4396005636038041</v>
      </c>
      <c r="AA209">
        <v>3.8627550631398151</v>
      </c>
      <c r="AB209">
        <v>6.6608078275356917</v>
      </c>
      <c r="AC209">
        <v>4.2309441687009723</v>
      </c>
      <c r="AD209">
        <v>5.4653408549000488</v>
      </c>
      <c r="AE209">
        <v>4.8283973628761316</v>
      </c>
      <c r="AF209">
        <v>4.2616915676424725</v>
      </c>
      <c r="AG209">
        <v>8.3679216057898742</v>
      </c>
      <c r="AH209">
        <v>5.3774263001104714</v>
      </c>
      <c r="AI209">
        <v>5.3802195787578313</v>
      </c>
      <c r="AJ209">
        <v>2.1090141118375243</v>
      </c>
      <c r="AK209">
        <v>5.8054361381083481</v>
      </c>
      <c r="AL209">
        <v>4.2844803397792361</v>
      </c>
      <c r="AM209">
        <v>5.9154575377282015</v>
      </c>
      <c r="AN209">
        <v>6.8138948652700435</v>
      </c>
      <c r="AO209">
        <v>6.7083066068805124</v>
      </c>
      <c r="AP209">
        <v>3.6944210875061572</v>
      </c>
      <c r="AQ209">
        <v>5.4451330394793729</v>
      </c>
      <c r="AR209">
        <v>7.5127028519178083</v>
      </c>
      <c r="AS209">
        <v>4.1124809832512597</v>
      </c>
      <c r="AT209">
        <v>4.4372599442454401</v>
      </c>
      <c r="AU209">
        <v>3.5991999021528756</v>
      </c>
      <c r="AV209">
        <v>7.1761115401359348</v>
      </c>
      <c r="AW209">
        <v>7.5495360834671317</v>
      </c>
      <c r="AX209">
        <v>7.6130394852752374</v>
      </c>
      <c r="AY209">
        <v>7.6195742082878439</v>
      </c>
      <c r="AZ209">
        <v>7.1400860248863154</v>
      </c>
      <c r="BA209">
        <v>3.2981666218282868</v>
      </c>
      <c r="BB209">
        <v>6.9492465401740873</v>
      </c>
      <c r="BC209">
        <v>7.365786643016321</v>
      </c>
      <c r="BD209">
        <v>5.0707494471140109</v>
      </c>
      <c r="BE209">
        <v>5.381298089630377</v>
      </c>
      <c r="BF209">
        <v>6.0092331799645109</v>
      </c>
      <c r="BG209">
        <v>6.8479660852307234</v>
      </c>
      <c r="BH209">
        <v>7.2516719351909558</v>
      </c>
      <c r="BI209">
        <v>7.7760169464661431</v>
      </c>
      <c r="BJ209">
        <v>6.503652999985718</v>
      </c>
      <c r="BK209">
        <v>6.3348048698844082</v>
      </c>
      <c r="BL209">
        <v>3.9241377712653502</v>
      </c>
      <c r="BM209">
        <v>-4.6239948311072823</v>
      </c>
      <c r="BN209">
        <v>8.2545904750409846</v>
      </c>
      <c r="BO209">
        <v>6.4867118634202683</v>
      </c>
    </row>
    <row r="210" spans="1:67">
      <c r="A210" t="s">
        <v>1188</v>
      </c>
      <c r="B210" t="s">
        <v>1189</v>
      </c>
      <c r="C210" t="s">
        <v>784</v>
      </c>
      <c r="D210" t="s">
        <v>785</v>
      </c>
      <c r="N210">
        <v>6.0378865487124216</v>
      </c>
      <c r="O210">
        <v>58.647330651183182</v>
      </c>
      <c r="P210">
        <v>20.512216747463114</v>
      </c>
      <c r="Q210">
        <v>22.930640249018253</v>
      </c>
      <c r="R210">
        <v>24.17052853742274</v>
      </c>
      <c r="S210">
        <v>16.228065271726294</v>
      </c>
      <c r="T210">
        <v>-8.9286143142451806</v>
      </c>
      <c r="U210">
        <v>17.820974197223592</v>
      </c>
      <c r="V210">
        <v>7.0933598994336506</v>
      </c>
      <c r="W210">
        <v>-5.2197260665725622</v>
      </c>
      <c r="X210">
        <v>11.919431556684046</v>
      </c>
      <c r="Y210">
        <v>5.652457601403853</v>
      </c>
      <c r="Z210">
        <v>1.9430044581393275</v>
      </c>
      <c r="AA210">
        <v>-20.729888310514866</v>
      </c>
      <c r="AB210">
        <v>-16.051386213488144</v>
      </c>
      <c r="AC210">
        <v>-4.6614519255281124</v>
      </c>
      <c r="AD210">
        <v>-9.7945022647133015</v>
      </c>
      <c r="AE210">
        <v>17.012746259163535</v>
      </c>
      <c r="AF210">
        <v>-6.6324960149632375</v>
      </c>
      <c r="AG210">
        <v>13.109312939398293</v>
      </c>
      <c r="AH210">
        <v>-0.50301588139083719</v>
      </c>
      <c r="AI210">
        <v>15.193425890109395</v>
      </c>
      <c r="AJ210">
        <v>15.007880251994663</v>
      </c>
      <c r="AK210">
        <v>3.9875401639485091</v>
      </c>
      <c r="AL210">
        <v>-1.3637414320213708</v>
      </c>
      <c r="AM210">
        <v>0.55872018991595951</v>
      </c>
      <c r="AN210">
        <v>0.21209134494561965</v>
      </c>
      <c r="AO210">
        <v>2.6374242153452343</v>
      </c>
      <c r="AP210">
        <v>1.1037820522772961</v>
      </c>
      <c r="AQ210">
        <v>2.8933625208762805</v>
      </c>
      <c r="AR210">
        <v>-3.7632852180933725</v>
      </c>
      <c r="AS210">
        <v>5.6254161459300178</v>
      </c>
      <c r="AT210">
        <v>-1.2107438684266754</v>
      </c>
      <c r="AU210">
        <v>-2.8191744026317167</v>
      </c>
      <c r="AV210">
        <v>11.242061385412086</v>
      </c>
      <c r="AW210">
        <v>7.9584416657631891</v>
      </c>
      <c r="AX210">
        <v>5.5738501216957275</v>
      </c>
      <c r="AY210">
        <v>2.7884022241319002</v>
      </c>
      <c r="AZ210">
        <v>1.8471302549179569</v>
      </c>
      <c r="BA210">
        <v>6.2497727521568294</v>
      </c>
      <c r="BB210">
        <v>-2.0592491890459144</v>
      </c>
      <c r="BC210">
        <v>5.03949288842378</v>
      </c>
      <c r="BD210">
        <v>10.993761628254845</v>
      </c>
      <c r="BE210">
        <v>5.4273942661127563</v>
      </c>
      <c r="BF210">
        <v>2.8503429910609697</v>
      </c>
      <c r="BG210">
        <v>4.0276512150738881</v>
      </c>
      <c r="BH210">
        <v>4.6901450733436434</v>
      </c>
      <c r="BI210">
        <v>2.3630745792766703</v>
      </c>
      <c r="BJ210">
        <v>-6.9698015609361619E-2</v>
      </c>
      <c r="BK210">
        <v>2.762243737556048</v>
      </c>
      <c r="BL210">
        <v>0.83228032683084052</v>
      </c>
      <c r="BM210">
        <v>-4.3413876779932252</v>
      </c>
      <c r="BN210">
        <v>4.3261046758584314</v>
      </c>
      <c r="BO210">
        <v>8.6807361016893623</v>
      </c>
    </row>
    <row r="211" spans="1:67">
      <c r="A211" t="s">
        <v>1190</v>
      </c>
      <c r="B211" t="s">
        <v>1191</v>
      </c>
      <c r="C211" t="s">
        <v>784</v>
      </c>
      <c r="D211" t="s">
        <v>785</v>
      </c>
      <c r="F211">
        <v>2.2391333671805569E-2</v>
      </c>
      <c r="G211">
        <v>6.9158421543829718</v>
      </c>
      <c r="H211">
        <v>-2.8469716807152423</v>
      </c>
      <c r="I211">
        <v>-1.1204491178588967</v>
      </c>
      <c r="J211">
        <v>6.7770740726696488</v>
      </c>
      <c r="K211">
        <v>-3.575147484967232</v>
      </c>
      <c r="L211">
        <v>1.4240812829788609</v>
      </c>
      <c r="M211">
        <v>1.9632208230600412</v>
      </c>
      <c r="N211">
        <v>1.3893504905018688</v>
      </c>
      <c r="O211">
        <v>5.925074716047888</v>
      </c>
      <c r="P211">
        <v>2.247314099773206</v>
      </c>
      <c r="Q211">
        <v>-5.0709864790971011</v>
      </c>
      <c r="R211">
        <v>0.63219524983838937</v>
      </c>
      <c r="S211">
        <v>11.445289142156795</v>
      </c>
      <c r="T211">
        <v>15.713466450316389</v>
      </c>
      <c r="U211">
        <v>16.665219736210517</v>
      </c>
      <c r="V211">
        <v>6.2238537819563788</v>
      </c>
      <c r="W211">
        <v>-5.9309867214475958</v>
      </c>
      <c r="X211">
        <v>-5.0185993295368831</v>
      </c>
      <c r="Y211">
        <v>1.5243101477997527</v>
      </c>
      <c r="Z211">
        <v>7.4375636561280487</v>
      </c>
      <c r="AA211">
        <v>5.9586664325729259</v>
      </c>
      <c r="AB211">
        <v>2.0625016947758041</v>
      </c>
      <c r="AC211">
        <v>-5.0089067687658968</v>
      </c>
      <c r="AD211">
        <v>-6.2810435807506622</v>
      </c>
      <c r="AE211">
        <v>5.4138110119001936</v>
      </c>
      <c r="AF211">
        <v>14.220884598001419</v>
      </c>
      <c r="AG211">
        <v>-0.33109181843944668</v>
      </c>
      <c r="AH211">
        <v>8.931393687877673</v>
      </c>
      <c r="AI211">
        <v>-5.4700537764081645</v>
      </c>
      <c r="AJ211">
        <v>7.5109103536653805</v>
      </c>
      <c r="AK211">
        <v>6.5778613849960266</v>
      </c>
      <c r="AL211">
        <v>4.5687491895471339</v>
      </c>
      <c r="AM211">
        <v>1.0062292478833399</v>
      </c>
      <c r="AN211">
        <v>5.9970922605124599</v>
      </c>
      <c r="AO211">
        <v>5.9191237633176002</v>
      </c>
      <c r="AP211">
        <v>18.312657185027277</v>
      </c>
      <c r="AQ211">
        <v>4.3085042552503552</v>
      </c>
      <c r="AR211">
        <v>3.1040956154965187</v>
      </c>
      <c r="AS211">
        <v>6.34586743997545</v>
      </c>
      <c r="AT211">
        <v>6.5003605339688306</v>
      </c>
      <c r="AU211">
        <v>6.0064715363131995</v>
      </c>
      <c r="AV211">
        <v>6.2888081614651554</v>
      </c>
      <c r="AW211">
        <v>5.1408885176267489</v>
      </c>
      <c r="AX211">
        <v>5.6435155134363129</v>
      </c>
      <c r="AY211">
        <v>6.5314117467791988</v>
      </c>
      <c r="AZ211">
        <v>5.735274236644841</v>
      </c>
      <c r="BA211">
        <v>3.8467447312105776</v>
      </c>
      <c r="BB211">
        <v>-2.7677043659913778</v>
      </c>
      <c r="BC211">
        <v>3.8582419523010714</v>
      </c>
      <c r="BD211">
        <v>-3.2135320925337112</v>
      </c>
      <c r="BE211">
        <v>-17.004688404894466</v>
      </c>
      <c r="BF211">
        <v>1.9551446330242186</v>
      </c>
      <c r="BG211">
        <v>4.6613795422987323</v>
      </c>
      <c r="BH211">
        <v>1.9101768905275094</v>
      </c>
      <c r="BI211">
        <v>3.4676421840928811</v>
      </c>
      <c r="BJ211">
        <v>0.70925628476643965</v>
      </c>
      <c r="BK211">
        <v>-2.6809305497998963</v>
      </c>
      <c r="BL211">
        <v>-2.178251045300911</v>
      </c>
      <c r="BM211">
        <v>-3.6298008241075195</v>
      </c>
      <c r="BN211">
        <v>-1.8685204827206974</v>
      </c>
      <c r="BO211">
        <v>-0.9534070304767539</v>
      </c>
    </row>
    <row r="212" spans="1:67">
      <c r="A212" t="s">
        <v>1192</v>
      </c>
      <c r="B212" t="s">
        <v>1193</v>
      </c>
      <c r="C212" t="s">
        <v>784</v>
      </c>
      <c r="D212" t="s">
        <v>785</v>
      </c>
      <c r="F212">
        <v>2.9934482562697298</v>
      </c>
      <c r="G212">
        <v>-0.13623536056263674</v>
      </c>
      <c r="H212">
        <v>1.8644785692915775</v>
      </c>
      <c r="I212">
        <v>3.8839271016463073</v>
      </c>
      <c r="J212">
        <v>1.33218949146287</v>
      </c>
      <c r="K212">
        <v>2.8767609752686951</v>
      </c>
      <c r="L212">
        <v>-1.2197928652849299</v>
      </c>
      <c r="M212">
        <v>6.2907735312988962</v>
      </c>
      <c r="N212">
        <v>-6.5541429225009438</v>
      </c>
      <c r="O212">
        <v>8.5620455145582639</v>
      </c>
      <c r="P212">
        <v>-0.14044943985554426</v>
      </c>
      <c r="Q212">
        <v>6.3832089155746701</v>
      </c>
      <c r="R212">
        <v>-5.5832401079554899</v>
      </c>
      <c r="S212">
        <v>4.200775525851725</v>
      </c>
      <c r="T212">
        <v>7.5356625985862848</v>
      </c>
      <c r="U212">
        <v>8.9205037039029378</v>
      </c>
      <c r="V212">
        <v>-2.6829053048746516</v>
      </c>
      <c r="W212">
        <v>-3.9539312601377929</v>
      </c>
      <c r="X212">
        <v>7.0016856132254333</v>
      </c>
      <c r="Y212">
        <v>3.9877619716854724</v>
      </c>
      <c r="Z212">
        <v>5.1802296700223565</v>
      </c>
      <c r="AA212">
        <v>8.0103843713438749</v>
      </c>
      <c r="AB212">
        <v>-5.6474602811428838</v>
      </c>
      <c r="AC212">
        <v>3.9358424430633931</v>
      </c>
      <c r="AD212">
        <v>3.4630844651519368</v>
      </c>
      <c r="AE212">
        <v>3.1269855489720442</v>
      </c>
      <c r="AF212">
        <v>6.2558634066273129</v>
      </c>
      <c r="AG212">
        <v>-0.81657548824352943</v>
      </c>
      <c r="AH212">
        <v>3.9737833148322466</v>
      </c>
      <c r="AI212">
        <v>-0.74628222425231172</v>
      </c>
      <c r="AJ212">
        <v>2.6599626573937911</v>
      </c>
      <c r="AK212">
        <v>1.3202330366135726</v>
      </c>
      <c r="AL212">
        <v>1.3602130065134617</v>
      </c>
      <c r="AM212">
        <v>-4.7520948661741613E-2</v>
      </c>
      <c r="AN212">
        <v>5.4685848581962802</v>
      </c>
      <c r="AO212">
        <v>2.0199772085413059</v>
      </c>
      <c r="AP212">
        <v>3.0456010348542293</v>
      </c>
      <c r="AQ212">
        <v>5.8984793176920505</v>
      </c>
      <c r="AR212">
        <v>6.2833082503098723</v>
      </c>
      <c r="AS212">
        <v>3.8872109581679268</v>
      </c>
      <c r="AT212">
        <v>4.3108514661836921</v>
      </c>
      <c r="AU212">
        <v>6.8696574741906602E-2</v>
      </c>
      <c r="AV212">
        <v>5.5939509445614277</v>
      </c>
      <c r="AW212">
        <v>4.6432939368331176</v>
      </c>
      <c r="AX212">
        <v>4.3102385263963328</v>
      </c>
      <c r="AY212">
        <v>2.3307709833023864</v>
      </c>
      <c r="AZ212">
        <v>2.8271192013337441</v>
      </c>
      <c r="BA212">
        <v>3.7031690639138617</v>
      </c>
      <c r="BB212">
        <v>2.7521044845505287</v>
      </c>
      <c r="BC212">
        <v>3.39088925336209</v>
      </c>
      <c r="BD212">
        <v>1.3340910796125769</v>
      </c>
      <c r="BE212">
        <v>4.002995550904572</v>
      </c>
      <c r="BF212">
        <v>2.4123852760557867</v>
      </c>
      <c r="BG212">
        <v>6.2240744379098629</v>
      </c>
      <c r="BH212">
        <v>6.367043650669828</v>
      </c>
      <c r="BI212">
        <v>6.3560685720813552</v>
      </c>
      <c r="BJ212">
        <v>7.4074861858959764</v>
      </c>
      <c r="BK212">
        <v>6.2092410338888726</v>
      </c>
      <c r="BL212">
        <v>4.6136280976220974</v>
      </c>
      <c r="BM212">
        <v>1.3420737728552439</v>
      </c>
      <c r="BN212">
        <v>6.5396737259741968</v>
      </c>
      <c r="BO212">
        <v>4.153856493903163</v>
      </c>
    </row>
    <row r="213" spans="1:67">
      <c r="A213" t="s">
        <v>1194</v>
      </c>
      <c r="B213" t="s">
        <v>1195</v>
      </c>
      <c r="C213" t="s">
        <v>784</v>
      </c>
      <c r="D213" t="s">
        <v>785</v>
      </c>
      <c r="F213">
        <v>8.1375295081766836</v>
      </c>
      <c r="G213">
        <v>7.5534441805225754</v>
      </c>
      <c r="H213">
        <v>10.040173313141509</v>
      </c>
      <c r="I213">
        <v>-3.1031681559707636</v>
      </c>
      <c r="J213">
        <v>7.8342604647492919</v>
      </c>
      <c r="K213">
        <v>10.180095306912037</v>
      </c>
      <c r="L213">
        <v>12.50861274603399</v>
      </c>
      <c r="M213">
        <v>13.526994222638706</v>
      </c>
      <c r="N213">
        <v>13.83382511601306</v>
      </c>
      <c r="O213">
        <v>13.942003003191587</v>
      </c>
      <c r="P213">
        <v>12.413437158634238</v>
      </c>
      <c r="Q213">
        <v>13.315562608373938</v>
      </c>
      <c r="R213">
        <v>10.603003017178651</v>
      </c>
      <c r="S213">
        <v>6.1174043710988286</v>
      </c>
      <c r="T213">
        <v>3.9887386255090149</v>
      </c>
      <c r="U213">
        <v>7.437166818149592</v>
      </c>
      <c r="V213">
        <v>6.8524423938249441</v>
      </c>
      <c r="W213">
        <v>7.7771819542201683</v>
      </c>
      <c r="X213">
        <v>9.554448739723469</v>
      </c>
      <c r="Y213">
        <v>10.113372106847507</v>
      </c>
      <c r="Z213">
        <v>10.815923298675216</v>
      </c>
      <c r="AA213">
        <v>7.1021448489135395</v>
      </c>
      <c r="AB213">
        <v>8.5544821061441354</v>
      </c>
      <c r="AC213">
        <v>8.7922862391225607</v>
      </c>
      <c r="AD213">
        <v>-0.62270165011315726</v>
      </c>
      <c r="AE213">
        <v>1.3428104144543624</v>
      </c>
      <c r="AF213">
        <v>10.797932470281935</v>
      </c>
      <c r="AG213">
        <v>11.26359213382004</v>
      </c>
      <c r="AH213">
        <v>10.158828638788947</v>
      </c>
      <c r="AI213">
        <v>9.8208995573177731</v>
      </c>
      <c r="AJ213">
        <v>6.6883975395837894</v>
      </c>
      <c r="AK213">
        <v>6.6398055694956355</v>
      </c>
      <c r="AL213">
        <v>11.459650875246012</v>
      </c>
      <c r="AM213">
        <v>11.095689310022692</v>
      </c>
      <c r="AN213">
        <v>7.1754011209107063</v>
      </c>
      <c r="AO213">
        <v>7.4713908600200227</v>
      </c>
      <c r="AP213">
        <v>8.316209111244973</v>
      </c>
      <c r="AQ213">
        <v>-2.1910150061127354</v>
      </c>
      <c r="AR213">
        <v>5.7183717571083719</v>
      </c>
      <c r="AS213">
        <v>9.0383163255516337</v>
      </c>
      <c r="AT213">
        <v>-1.0708627510044835</v>
      </c>
      <c r="AU213">
        <v>3.923360767020128</v>
      </c>
      <c r="AV213">
        <v>4.5482554264322914</v>
      </c>
      <c r="AW213">
        <v>9.9399826843495731</v>
      </c>
      <c r="AX213">
        <v>7.366322392507584</v>
      </c>
      <c r="AY213">
        <v>9.0067660787175754</v>
      </c>
      <c r="AZ213">
        <v>9.0215195126889256</v>
      </c>
      <c r="BA213">
        <v>1.8634834546203507</v>
      </c>
      <c r="BB213">
        <v>0.1279533827780881</v>
      </c>
      <c r="BC213">
        <v>14.519749710899404</v>
      </c>
      <c r="BD213">
        <v>6.2149341685898918</v>
      </c>
      <c r="BE213">
        <v>4.4354975937853709</v>
      </c>
      <c r="BF213">
        <v>4.8176309912067552</v>
      </c>
      <c r="BG213">
        <v>3.9355402770900696</v>
      </c>
      <c r="BH213">
        <v>2.9767993163480639</v>
      </c>
      <c r="BI213">
        <v>3.6016560391324219</v>
      </c>
      <c r="BJ213">
        <v>4.5447282178442379</v>
      </c>
      <c r="BK213">
        <v>3.575432710191123</v>
      </c>
      <c r="BL213">
        <v>1.3312613268995079</v>
      </c>
      <c r="BM213">
        <v>-3.9010534022111756</v>
      </c>
      <c r="BN213">
        <v>8.8823539966453211</v>
      </c>
      <c r="BO213">
        <v>3.6469720710854148</v>
      </c>
    </row>
    <row r="214" spans="1:67">
      <c r="A214" t="s">
        <v>1196</v>
      </c>
      <c r="B214" t="s">
        <v>1197</v>
      </c>
      <c r="C214" t="s">
        <v>784</v>
      </c>
      <c r="D214" t="s">
        <v>785</v>
      </c>
      <c r="Z214">
        <v>-1.7970193686776383</v>
      </c>
      <c r="AA214">
        <v>-1.669565560784406</v>
      </c>
      <c r="AB214">
        <v>3.8905916322333383</v>
      </c>
      <c r="AC214">
        <v>0.17020030310996503</v>
      </c>
      <c r="AD214">
        <v>-3.1323229029037378</v>
      </c>
      <c r="AE214">
        <v>-0.20143016121588175</v>
      </c>
      <c r="AF214">
        <v>8.42131018114749</v>
      </c>
      <c r="AG214">
        <v>1.250196323285536</v>
      </c>
      <c r="AH214">
        <v>4.2642567236613331</v>
      </c>
      <c r="AI214">
        <v>2.2000000001457494</v>
      </c>
      <c r="AJ214">
        <v>6.0000015533426989</v>
      </c>
      <c r="AK214">
        <v>12.69999824823995</v>
      </c>
      <c r="AL214">
        <v>3.9999995348558315</v>
      </c>
      <c r="AM214">
        <v>8.1000012262214085</v>
      </c>
      <c r="AN214">
        <v>10.0886153892408</v>
      </c>
      <c r="AO214">
        <v>1.609907634642596</v>
      </c>
      <c r="AP214">
        <v>-0.91407718815813155</v>
      </c>
      <c r="AQ214">
        <v>1.2915122493724027</v>
      </c>
      <c r="AR214">
        <v>-0.48573072799985084</v>
      </c>
      <c r="AS214">
        <v>-14.276999591179759</v>
      </c>
      <c r="AT214">
        <v>-7.9566061001623041</v>
      </c>
      <c r="AU214">
        <v>-2.7999828846498929</v>
      </c>
      <c r="AV214">
        <v>6.5234668505513866</v>
      </c>
      <c r="AW214">
        <v>7.6832999660031049</v>
      </c>
      <c r="AX214">
        <v>7.3578419335601666</v>
      </c>
      <c r="AY214">
        <v>4.1382803182538481</v>
      </c>
      <c r="AZ214">
        <v>3.6396724294813509</v>
      </c>
      <c r="BA214">
        <v>6.2259695437619058</v>
      </c>
      <c r="BB214">
        <v>2.8642679016743813</v>
      </c>
      <c r="BC214">
        <v>9.7083881692872467</v>
      </c>
      <c r="BD214">
        <v>7.4299496167590746</v>
      </c>
      <c r="BE214">
        <v>2.4660013869788315</v>
      </c>
      <c r="BF214">
        <v>5.2377401778032748</v>
      </c>
      <c r="BG214">
        <v>1.1892174709235803</v>
      </c>
      <c r="BH214">
        <v>1.6761461564977651</v>
      </c>
      <c r="BI214">
        <v>5.5547315336695391</v>
      </c>
      <c r="BJ214">
        <v>3.0753480342463604</v>
      </c>
      <c r="BK214">
        <v>2.7459954233409576</v>
      </c>
      <c r="BL214">
        <v>1.7495142870681946</v>
      </c>
      <c r="BM214">
        <v>-3.3811160477268345</v>
      </c>
      <c r="BN214">
        <v>-0.56974289267431288</v>
      </c>
      <c r="BO214">
        <v>-4.0624394027535402</v>
      </c>
    </row>
    <row r="215" spans="1:67">
      <c r="A215" t="s">
        <v>1198</v>
      </c>
      <c r="B215" t="s">
        <v>1199</v>
      </c>
      <c r="C215" t="s">
        <v>784</v>
      </c>
      <c r="D215" t="s">
        <v>785</v>
      </c>
      <c r="F215">
        <v>1.809043550057595</v>
      </c>
      <c r="G215">
        <v>4.5409670642761739</v>
      </c>
      <c r="H215">
        <v>1.6997151729226943</v>
      </c>
      <c r="I215">
        <v>6.6852387905258439</v>
      </c>
      <c r="J215">
        <v>7.1801557915250385</v>
      </c>
      <c r="K215">
        <v>1.699999998008181</v>
      </c>
      <c r="L215">
        <v>3.6281553320691273E-2</v>
      </c>
      <c r="M215">
        <v>2.0199238329878995</v>
      </c>
      <c r="N215">
        <v>8.5254468016976688</v>
      </c>
      <c r="O215">
        <v>8.6204932397169927</v>
      </c>
      <c r="P215">
        <v>3.465916492276861</v>
      </c>
      <c r="Q215">
        <v>0.90023465027154259</v>
      </c>
      <c r="R215">
        <v>2.2566182498726164</v>
      </c>
      <c r="S215">
        <v>3.4998283200315541</v>
      </c>
      <c r="T215">
        <v>1.6692165238666234</v>
      </c>
      <c r="U215">
        <v>-0.44917634153242147</v>
      </c>
      <c r="V215">
        <v>4.6675809840763804E-2</v>
      </c>
      <c r="W215">
        <v>2.4063321661992063</v>
      </c>
      <c r="X215">
        <v>4.5112656074806949</v>
      </c>
      <c r="Y215">
        <v>4.8435037562916108</v>
      </c>
      <c r="Z215">
        <v>2.8814285650171172</v>
      </c>
      <c r="AA215">
        <v>4.7817555346548062</v>
      </c>
      <c r="AB215">
        <v>-2.1028016174281134</v>
      </c>
      <c r="AC215">
        <v>4.0930342669799984</v>
      </c>
      <c r="AD215">
        <v>-5.3113404984766106</v>
      </c>
      <c r="AE215">
        <v>1.2360469106911438</v>
      </c>
      <c r="AF215">
        <v>7.2312687313392559</v>
      </c>
      <c r="AG215">
        <v>-7.0799999995222151</v>
      </c>
      <c r="AH215">
        <v>0.72999999869590226</v>
      </c>
      <c r="AI215">
        <v>3.3499979838771594</v>
      </c>
      <c r="AJ215">
        <v>2.3519614090486129</v>
      </c>
      <c r="AK215">
        <v>-19.012909907092705</v>
      </c>
      <c r="AL215">
        <v>1.3745500908638917</v>
      </c>
      <c r="AM215">
        <v>-1.9473851286476247</v>
      </c>
      <c r="AN215">
        <v>-7.999752326563808</v>
      </c>
      <c r="AO215">
        <v>1.753820104646735</v>
      </c>
      <c r="AP215">
        <v>-5.8770807888450065</v>
      </c>
      <c r="AQ215">
        <v>1.7850127950447927</v>
      </c>
      <c r="AR215">
        <v>-1.979286873974587</v>
      </c>
      <c r="AS215">
        <v>6.6527296593931027</v>
      </c>
      <c r="AT215">
        <v>-6.345455403265575</v>
      </c>
      <c r="AU215">
        <v>26.524134888331304</v>
      </c>
      <c r="AV215">
        <v>9.4836314856583641</v>
      </c>
      <c r="AW215">
        <v>6.4788460164794799</v>
      </c>
      <c r="AX215">
        <v>4.353499949884025</v>
      </c>
      <c r="AY215">
        <v>4.2831104447246844</v>
      </c>
      <c r="AZ215">
        <v>7.9765653343834941</v>
      </c>
      <c r="BA215">
        <v>5.4358930442492124</v>
      </c>
      <c r="BB215">
        <v>3.2094315622637453</v>
      </c>
      <c r="BC215">
        <v>6.6374924582716801</v>
      </c>
      <c r="BD215">
        <v>6.0098310460788582</v>
      </c>
      <c r="BE215">
        <v>15.20174827346392</v>
      </c>
      <c r="BF215">
        <v>21.079014163642682</v>
      </c>
      <c r="BG215">
        <v>4.5592535327044317</v>
      </c>
      <c r="BH215">
        <v>-20.491074106799999</v>
      </c>
      <c r="BI215">
        <v>6.3467278519358672</v>
      </c>
      <c r="BJ215">
        <v>3.753803214003625</v>
      </c>
      <c r="BK215">
        <v>3.4729026201246143</v>
      </c>
      <c r="BL215">
        <v>5.2537463130736484</v>
      </c>
      <c r="BM215">
        <v>-1.9684868911861884</v>
      </c>
      <c r="BN215">
        <v>4.1047000888411844</v>
      </c>
      <c r="BO215">
        <v>3.4575398556514898</v>
      </c>
    </row>
    <row r="216" spans="1:67">
      <c r="A216" t="s">
        <v>1200</v>
      </c>
      <c r="B216" t="s">
        <v>1201</v>
      </c>
      <c r="C216" t="s">
        <v>784</v>
      </c>
      <c r="D216" t="s">
        <v>785</v>
      </c>
      <c r="K216">
        <v>7.1611377397188534</v>
      </c>
      <c r="L216">
        <v>5.4368488512869533</v>
      </c>
      <c r="M216">
        <v>3.2366923840662736</v>
      </c>
      <c r="N216">
        <v>3.4854188159065842</v>
      </c>
      <c r="O216">
        <v>2.9772950928131507</v>
      </c>
      <c r="P216">
        <v>3.858257513493129</v>
      </c>
      <c r="Q216">
        <v>6.1175336871667412</v>
      </c>
      <c r="R216">
        <v>4.8616735040866104</v>
      </c>
      <c r="S216">
        <v>5.3360011067654227</v>
      </c>
      <c r="T216">
        <v>2.9235318885202872</v>
      </c>
      <c r="U216">
        <v>5.049260173759464</v>
      </c>
      <c r="V216">
        <v>6.7800617282486115</v>
      </c>
      <c r="W216">
        <v>5.322765834727889</v>
      </c>
      <c r="X216">
        <v>-4.1802654332690423</v>
      </c>
      <c r="Y216">
        <v>-15.83686429486589</v>
      </c>
      <c r="Z216">
        <v>-5.7209904515293744</v>
      </c>
      <c r="AA216">
        <v>-6.3084713758475743</v>
      </c>
      <c r="AB216">
        <v>1.5390252839868168</v>
      </c>
      <c r="AC216">
        <v>1.3352580295921967</v>
      </c>
      <c r="AD216">
        <v>0.61431623931625268</v>
      </c>
      <c r="AE216">
        <v>0.19467303778426981</v>
      </c>
      <c r="AF216">
        <v>2.5081692131060578</v>
      </c>
      <c r="AG216">
        <v>1.8781769621780029</v>
      </c>
      <c r="AH216">
        <v>0.96405919661732753</v>
      </c>
      <c r="AI216">
        <v>4.8329005779378633</v>
      </c>
      <c r="AJ216">
        <v>1.4940875679130698</v>
      </c>
      <c r="AK216">
        <v>7.0219633157521741</v>
      </c>
      <c r="AL216">
        <v>5.8183155571901466</v>
      </c>
      <c r="AM216">
        <v>4.6920617266787019</v>
      </c>
      <c r="AN216">
        <v>4.7340814022973206</v>
      </c>
      <c r="AO216">
        <v>0.81146189932800894</v>
      </c>
      <c r="AP216">
        <v>3.1379700666582835</v>
      </c>
      <c r="AQ216">
        <v>2.6522773001646129</v>
      </c>
      <c r="AR216">
        <v>2.1620337372297342</v>
      </c>
      <c r="AS216">
        <v>1.1279069767441854</v>
      </c>
      <c r="AT216">
        <v>0.87961365988272178</v>
      </c>
      <c r="AU216">
        <v>1.5729184475978855</v>
      </c>
      <c r="AV216">
        <v>1.5653930314761766</v>
      </c>
      <c r="AW216">
        <v>0.88940448569219654</v>
      </c>
      <c r="AX216">
        <v>2.6808300936319398</v>
      </c>
      <c r="AY216">
        <v>4.3369986028604046</v>
      </c>
      <c r="AZ216">
        <v>1.8476022058785873</v>
      </c>
      <c r="BA216">
        <v>2.1544028322811926</v>
      </c>
      <c r="BB216">
        <v>-2.1087680355160927</v>
      </c>
      <c r="BC216">
        <v>2.1541950113378618</v>
      </c>
      <c r="BD216">
        <v>3.7735849056603712</v>
      </c>
      <c r="BE216">
        <v>2.8877005347593467</v>
      </c>
      <c r="BF216">
        <v>2.1829521829521923</v>
      </c>
      <c r="BG216">
        <v>1.7293997965412018</v>
      </c>
      <c r="BH216">
        <v>2.4000000885211534</v>
      </c>
      <c r="BI216">
        <v>2.5390624113586426</v>
      </c>
      <c r="BJ216">
        <v>2.2857143700201448</v>
      </c>
      <c r="BK216">
        <v>2.4208565263835027</v>
      </c>
      <c r="BL216">
        <v>2.3636362831625775</v>
      </c>
      <c r="BM216">
        <v>-7.8152750811320715</v>
      </c>
      <c r="BN216">
        <v>11.175337082556624</v>
      </c>
      <c r="BO216">
        <v>2.5996533775552564</v>
      </c>
    </row>
    <row r="217" spans="1:67">
      <c r="A217" t="s">
        <v>1202</v>
      </c>
      <c r="B217" t="s">
        <v>1203</v>
      </c>
      <c r="C217" t="s">
        <v>784</v>
      </c>
      <c r="D217" t="s">
        <v>785</v>
      </c>
      <c r="AQ217">
        <v>7.4656188605108014</v>
      </c>
      <c r="AR217">
        <v>9.0493601462522832</v>
      </c>
      <c r="AS217">
        <v>2.1793797150041883</v>
      </c>
      <c r="AT217">
        <v>5.5783429040196779</v>
      </c>
      <c r="AU217">
        <v>0.31080031080030324</v>
      </c>
      <c r="AV217">
        <v>3.8729666924864432</v>
      </c>
      <c r="AW217">
        <v>4.5488441461595954</v>
      </c>
      <c r="AX217">
        <v>2.4251069900142568</v>
      </c>
      <c r="AY217">
        <v>3.830083565459617</v>
      </c>
      <c r="AZ217">
        <v>7.1093226022803435</v>
      </c>
      <c r="BA217">
        <v>-0.50093926111458131</v>
      </c>
      <c r="BB217">
        <v>-10.320956576463175</v>
      </c>
      <c r="BC217">
        <v>-5.473684210526315</v>
      </c>
      <c r="BD217">
        <v>-8.3147735708982964</v>
      </c>
      <c r="BE217">
        <v>-7.044534412955457</v>
      </c>
      <c r="BF217">
        <v>-0.78397212543553962</v>
      </c>
      <c r="BG217">
        <v>-0.70237050043898819</v>
      </c>
      <c r="BH217">
        <v>2.2915055614500517</v>
      </c>
      <c r="BI217">
        <v>2.3444058640608176</v>
      </c>
      <c r="BJ217">
        <v>0.2582654665088171</v>
      </c>
      <c r="BK217">
        <v>1.4939053180998343</v>
      </c>
      <c r="BL217">
        <v>2.0656851450168858</v>
      </c>
      <c r="BM217">
        <v>-6.6479108189132745</v>
      </c>
      <c r="BN217">
        <v>8.4630718442887769</v>
      </c>
    </row>
    <row r="218" spans="1:67">
      <c r="A218" t="s">
        <v>1204</v>
      </c>
      <c r="B218" t="s">
        <v>1205</v>
      </c>
      <c r="C218" t="s">
        <v>784</v>
      </c>
      <c r="D218" t="s">
        <v>785</v>
      </c>
      <c r="F218">
        <v>-3.2619812023409622</v>
      </c>
      <c r="G218">
        <v>7.0766554341688419</v>
      </c>
      <c r="H218">
        <v>2.8088025700939312</v>
      </c>
      <c r="I218">
        <v>-6.1106233303426762</v>
      </c>
      <c r="J218">
        <v>-5.9436814925390422</v>
      </c>
      <c r="K218">
        <v>9.0986547077214368</v>
      </c>
      <c r="L218">
        <v>5.9409436166139074</v>
      </c>
      <c r="M218">
        <v>2.029977324836139</v>
      </c>
      <c r="N218">
        <v>-1.6995697173317126</v>
      </c>
      <c r="O218">
        <v>4.5814079214509604</v>
      </c>
      <c r="P218">
        <v>2.6290223397552381</v>
      </c>
      <c r="Q218">
        <v>10.100846049171054</v>
      </c>
      <c r="R218">
        <v>-1.9512984775573301</v>
      </c>
      <c r="S218">
        <v>-18.266378741832654</v>
      </c>
      <c r="T218">
        <v>30.073698584818743</v>
      </c>
      <c r="U218">
        <v>-1.0167167010779821</v>
      </c>
      <c r="V218">
        <v>23.307490511749606</v>
      </c>
      <c r="W218">
        <v>3.7274890874143409</v>
      </c>
      <c r="X218">
        <v>-2.7084658486775197</v>
      </c>
      <c r="Y218">
        <v>-3.9013900443195979</v>
      </c>
      <c r="Z218">
        <v>5.6626996605128426</v>
      </c>
      <c r="AA218">
        <v>4.0722945781459998</v>
      </c>
      <c r="AB218">
        <v>-8.7536692749918927</v>
      </c>
      <c r="AC218">
        <v>3.5549461490183916</v>
      </c>
      <c r="AD218">
        <v>8.1524367140727918</v>
      </c>
      <c r="AE218">
        <v>3.3527550394146317</v>
      </c>
      <c r="AF218">
        <v>5.0969044874901215</v>
      </c>
      <c r="AG218">
        <v>-0.55326992818058329</v>
      </c>
      <c r="AH218">
        <v>-0.17591181769063269</v>
      </c>
      <c r="AI218">
        <v>-1.4840756842422422</v>
      </c>
      <c r="BG218">
        <v>7.5263915829404624</v>
      </c>
      <c r="BH218">
        <v>9.9467999523484139</v>
      </c>
      <c r="BI218">
        <v>6.4243070045311867</v>
      </c>
      <c r="BJ218">
        <v>9.5001896424988956</v>
      </c>
      <c r="BK218">
        <v>2.9940200636061576</v>
      </c>
      <c r="BL218">
        <v>3.6268300640167865</v>
      </c>
      <c r="BM218">
        <v>-2.559788836162781</v>
      </c>
      <c r="BN218">
        <v>3.3076209523176061</v>
      </c>
      <c r="BO218">
        <v>2.4330924863348571</v>
      </c>
    </row>
    <row r="219" spans="1:67">
      <c r="A219" t="s">
        <v>1206</v>
      </c>
      <c r="B219" t="s">
        <v>1207</v>
      </c>
      <c r="C219" t="s">
        <v>784</v>
      </c>
      <c r="D219" t="s">
        <v>785</v>
      </c>
      <c r="AO219">
        <v>6.2640826429298642</v>
      </c>
      <c r="AP219">
        <v>7.207379839417797</v>
      </c>
      <c r="AQ219">
        <v>3.3408773579261037</v>
      </c>
      <c r="AR219">
        <v>-9.4241616060843967</v>
      </c>
      <c r="AS219">
        <v>6.1318130895325424</v>
      </c>
      <c r="AT219">
        <v>6.8787747650663817</v>
      </c>
      <c r="AU219">
        <v>6.3804053040045261</v>
      </c>
      <c r="AV219">
        <v>4.3877570229959417</v>
      </c>
      <c r="AW219">
        <v>9.0281969282915355</v>
      </c>
      <c r="AX219">
        <v>5.5303471214543265</v>
      </c>
      <c r="AY219">
        <v>5.1077901412298417</v>
      </c>
      <c r="AZ219">
        <v>6.4395255541621168</v>
      </c>
      <c r="BA219">
        <v>5.655576621591905</v>
      </c>
      <c r="BB219">
        <v>-2.7317519891772832</v>
      </c>
      <c r="BC219">
        <v>0.73104455254213008</v>
      </c>
      <c r="BD219">
        <v>2.0362766886402994</v>
      </c>
      <c r="BE219">
        <v>-0.68154236933474976</v>
      </c>
      <c r="BF219">
        <v>2.8926367335580778</v>
      </c>
      <c r="BG219">
        <v>-1.5895103199025726</v>
      </c>
      <c r="BH219">
        <v>1.8060592650968204</v>
      </c>
      <c r="BI219">
        <v>3.3385867654298806</v>
      </c>
      <c r="BJ219">
        <v>2.1011638474124084</v>
      </c>
      <c r="BK219">
        <v>4.495121292762704</v>
      </c>
      <c r="BL219">
        <v>4.3317349060828292</v>
      </c>
      <c r="BM219">
        <v>-0.90321850152075456</v>
      </c>
      <c r="BN219">
        <v>7.7259477767403126</v>
      </c>
      <c r="BO219">
        <v>2.5499555701369587</v>
      </c>
    </row>
    <row r="220" spans="1:67">
      <c r="A220" t="s">
        <v>1208</v>
      </c>
      <c r="B220" t="s">
        <v>1209</v>
      </c>
      <c r="C220" t="s">
        <v>784</v>
      </c>
      <c r="D220" t="s">
        <v>785</v>
      </c>
      <c r="F220">
        <v>0.9809158257727546</v>
      </c>
      <c r="G220">
        <v>6.0472410356972972</v>
      </c>
      <c r="H220">
        <v>6.0985134281928595</v>
      </c>
      <c r="I220">
        <v>4.9558844260576365</v>
      </c>
      <c r="J220">
        <v>4.7765624994356131</v>
      </c>
      <c r="K220">
        <v>1.3502535212699627</v>
      </c>
      <c r="L220">
        <v>-1.2265216023073151</v>
      </c>
      <c r="M220">
        <v>2.9735209558374294</v>
      </c>
      <c r="N220">
        <v>9.3819362743547288</v>
      </c>
      <c r="O220">
        <v>10.262930343138166</v>
      </c>
      <c r="P220">
        <v>7.8326614884845611</v>
      </c>
      <c r="Q220">
        <v>2.6239397190989564</v>
      </c>
      <c r="R220">
        <v>4.3352936764267582</v>
      </c>
      <c r="S220">
        <v>7.9218678939130456</v>
      </c>
      <c r="T220">
        <v>-0.12053937792282454</v>
      </c>
      <c r="U220">
        <v>5.5020510745854523</v>
      </c>
      <c r="V220">
        <v>2.9238414429285484</v>
      </c>
      <c r="W220">
        <v>-0.52624790979571401</v>
      </c>
      <c r="X220">
        <v>3.944842725094631</v>
      </c>
      <c r="Y220">
        <v>3.7885262740820167</v>
      </c>
      <c r="Z220">
        <v>-0.76772992302709042</v>
      </c>
      <c r="AA220">
        <v>-1.0874033164853074</v>
      </c>
      <c r="AB220">
        <v>-2.5124419306340826</v>
      </c>
      <c r="AC220">
        <v>2.0830342514890958</v>
      </c>
      <c r="AD220">
        <v>1.8263471232449859</v>
      </c>
      <c r="AE220">
        <v>1.9449008022844936</v>
      </c>
      <c r="AF220">
        <v>3.1465143792505472</v>
      </c>
      <c r="AG220">
        <v>4.3454849911054083</v>
      </c>
      <c r="AH220">
        <v>2.6547284298534635</v>
      </c>
      <c r="AI220">
        <v>2.4665703669204788</v>
      </c>
      <c r="AJ220">
        <v>0.51919211526751496</v>
      </c>
      <c r="AK220">
        <v>-0.1513034802324853</v>
      </c>
      <c r="AL220">
        <v>-0.74785630478912424</v>
      </c>
      <c r="AM220">
        <v>1.0750782631174189</v>
      </c>
      <c r="AN220">
        <v>3.3903848065940139</v>
      </c>
      <c r="AO220">
        <v>5.1336193952410127</v>
      </c>
      <c r="AP220">
        <v>4.3623077938504906</v>
      </c>
      <c r="AQ220">
        <v>2.4898294507824374</v>
      </c>
      <c r="AR220">
        <v>2.166850725408338</v>
      </c>
      <c r="AS220">
        <v>3.4977815042990983</v>
      </c>
      <c r="AT220">
        <v>4.2625070973233221</v>
      </c>
      <c r="AU220">
        <v>6.3187074579488893</v>
      </c>
      <c r="AV220">
        <v>4.1165581043100019</v>
      </c>
      <c r="AW220">
        <v>6.5655185852195928</v>
      </c>
      <c r="AX220">
        <v>5.9993040854717066</v>
      </c>
      <c r="AY220">
        <v>6.0657210503020735</v>
      </c>
      <c r="AZ220">
        <v>6.1455544246519906</v>
      </c>
      <c r="BA220">
        <v>5.149745892367207</v>
      </c>
      <c r="BB220">
        <v>2.9977756021430508</v>
      </c>
      <c r="BC220">
        <v>5.9340423685188881</v>
      </c>
      <c r="BD220">
        <v>4.1933391906357116</v>
      </c>
      <c r="BE220">
        <v>2.7319215839210358</v>
      </c>
      <c r="BF220">
        <v>5.0612830909618083</v>
      </c>
      <c r="BG220">
        <v>4.8675651388637675</v>
      </c>
      <c r="BH220">
        <v>2.8954661786278137</v>
      </c>
      <c r="BI220">
        <v>1.2770423910589415</v>
      </c>
      <c r="BJ220">
        <v>2.4439679154501022</v>
      </c>
      <c r="BK220">
        <v>2.6455173502227751</v>
      </c>
      <c r="BL220">
        <v>2.5573962409078064</v>
      </c>
      <c r="BM220">
        <v>-1.9567536269960328</v>
      </c>
      <c r="BN220">
        <v>4.1520398691253746</v>
      </c>
      <c r="BO220">
        <v>3.5809109446812073</v>
      </c>
    </row>
    <row r="221" spans="1:67">
      <c r="A221" t="s">
        <v>1210</v>
      </c>
      <c r="B221" t="s">
        <v>1211</v>
      </c>
      <c r="C221" t="s">
        <v>784</v>
      </c>
      <c r="D221" t="s">
        <v>785</v>
      </c>
      <c r="BB221">
        <v>5.0416418798334206</v>
      </c>
      <c r="BC221">
        <v>5.4934163952994481</v>
      </c>
      <c r="BD221">
        <v>-4.640316736008586</v>
      </c>
      <c r="BE221">
        <v>-46.082122374300695</v>
      </c>
      <c r="BF221">
        <v>13.129731140694332</v>
      </c>
      <c r="BG221">
        <v>3.37364847715736</v>
      </c>
      <c r="BH221">
        <v>-10.793364627114315</v>
      </c>
    </row>
    <row r="222" spans="1:67">
      <c r="A222" t="s">
        <v>1212</v>
      </c>
      <c r="B222" t="s">
        <v>1213</v>
      </c>
      <c r="C222" t="s">
        <v>784</v>
      </c>
      <c r="D222" t="s">
        <v>785</v>
      </c>
      <c r="F222">
        <v>0.97738011370162781</v>
      </c>
      <c r="G222">
        <v>6.0485760505294195</v>
      </c>
      <c r="H222">
        <v>6.1008466429987749</v>
      </c>
      <c r="I222">
        <v>4.9564623687173821</v>
      </c>
      <c r="J222">
        <v>4.7730285481486021</v>
      </c>
      <c r="K222">
        <v>1.3574264233859878</v>
      </c>
      <c r="L222">
        <v>-1.2254103577906363</v>
      </c>
      <c r="M222">
        <v>2.9764907734403749</v>
      </c>
      <c r="N222">
        <v>9.3755819522460087</v>
      </c>
      <c r="O222">
        <v>10.262068948067053</v>
      </c>
      <c r="P222">
        <v>7.8375536599358213</v>
      </c>
      <c r="Q222">
        <v>2.6263544623797799</v>
      </c>
      <c r="R222">
        <v>4.3384974095814783</v>
      </c>
      <c r="S222">
        <v>7.9171710343015178</v>
      </c>
      <c r="T222">
        <v>-0.11834258839640199</v>
      </c>
      <c r="U222">
        <v>5.5094656331611276</v>
      </c>
      <c r="V222">
        <v>2.9169627036924339</v>
      </c>
      <c r="W222">
        <v>-0.51133454252837396</v>
      </c>
      <c r="X222">
        <v>3.9547696222664683</v>
      </c>
      <c r="Y222">
        <v>3.7802312180029958</v>
      </c>
      <c r="Z222">
        <v>-0.77023542374455189</v>
      </c>
      <c r="AA222">
        <v>-1.0881559230361546</v>
      </c>
      <c r="AB222">
        <v>-2.5110186364660194</v>
      </c>
      <c r="AC222">
        <v>2.0847349526020622</v>
      </c>
      <c r="AD222">
        <v>1.8329672395398262</v>
      </c>
      <c r="AE222">
        <v>1.943899082584096</v>
      </c>
      <c r="AF222">
        <v>3.1479531740743454</v>
      </c>
      <c r="AG222">
        <v>4.3463153982193461</v>
      </c>
      <c r="AH222">
        <v>2.6611198263138789</v>
      </c>
      <c r="AI222">
        <v>2.4710585962478291</v>
      </c>
      <c r="AJ222">
        <v>0.52130678829334443</v>
      </c>
      <c r="AK222">
        <v>-0.14423879684447627</v>
      </c>
      <c r="AL222">
        <v>-0.73953602231085824</v>
      </c>
      <c r="AM222">
        <v>1.0711552124091952</v>
      </c>
      <c r="AN222">
        <v>3.3872517295767182</v>
      </c>
      <c r="AO222">
        <v>5.1387177496607421</v>
      </c>
      <c r="AP222">
        <v>4.3708952581319238</v>
      </c>
      <c r="AQ222">
        <v>2.4898030605427834</v>
      </c>
      <c r="AR222">
        <v>2.1665032549054644</v>
      </c>
      <c r="AS222">
        <v>3.4986691839353483</v>
      </c>
      <c r="AT222">
        <v>4.2547944308399082</v>
      </c>
      <c r="AU222">
        <v>6.3130584585547496</v>
      </c>
      <c r="AV222">
        <v>4.1060212631506943</v>
      </c>
      <c r="AW222">
        <v>6.5565527920489188</v>
      </c>
      <c r="AX222">
        <v>6.0019140778306337</v>
      </c>
      <c r="AY222">
        <v>6.0687031306640051</v>
      </c>
      <c r="AZ222">
        <v>6.1480687320756573</v>
      </c>
      <c r="BA222">
        <v>5.1423074270863083</v>
      </c>
      <c r="BB222">
        <v>2.9930650841929207</v>
      </c>
      <c r="BC222">
        <v>5.9328787587234331</v>
      </c>
      <c r="BD222">
        <v>4.1976101997155411</v>
      </c>
      <c r="BE222">
        <v>2.7322413739836691</v>
      </c>
      <c r="BF222">
        <v>5.0580564794269662</v>
      </c>
      <c r="BG222">
        <v>4.866911044302725</v>
      </c>
      <c r="BH222">
        <v>2.8965151489253032</v>
      </c>
      <c r="BI222">
        <v>1.2801721121459053</v>
      </c>
      <c r="BJ222">
        <v>2.4442587354407124</v>
      </c>
      <c r="BK222">
        <v>2.6464207660951189</v>
      </c>
      <c r="BL222">
        <v>2.5593914103170192</v>
      </c>
      <c r="BM222">
        <v>-1.9618302242754453</v>
      </c>
      <c r="BN222">
        <v>4.1530951851312068</v>
      </c>
      <c r="BO222">
        <v>3.5854522025109929</v>
      </c>
    </row>
    <row r="223" spans="1:67">
      <c r="A223" t="s">
        <v>1214</v>
      </c>
      <c r="B223" t="s">
        <v>1215</v>
      </c>
      <c r="C223" t="s">
        <v>784</v>
      </c>
      <c r="D223" t="s">
        <v>785</v>
      </c>
      <c r="AT223">
        <v>3.511229440086197</v>
      </c>
      <c r="AU223">
        <v>4.2357754492584831</v>
      </c>
      <c r="AV223">
        <v>4.6951331962988547</v>
      </c>
      <c r="AW223">
        <v>7.6587145957885951</v>
      </c>
      <c r="AX223">
        <v>5.1795947724238829</v>
      </c>
      <c r="AY223">
        <v>9.6705288580140518</v>
      </c>
      <c r="AZ223">
        <v>8.1647889573251291</v>
      </c>
      <c r="BA223">
        <v>5.8824013310082535</v>
      </c>
      <c r="BB223">
        <v>0.46804274122710865</v>
      </c>
      <c r="BC223">
        <v>7.1199123062749976</v>
      </c>
      <c r="BD223">
        <v>6.2718040501392238</v>
      </c>
      <c r="BE223">
        <v>3.3602037121926571</v>
      </c>
      <c r="BF223">
        <v>3.2589300933524044</v>
      </c>
      <c r="BG223">
        <v>3.5800062184821826</v>
      </c>
      <c r="BH223">
        <v>2.6457862770120215</v>
      </c>
      <c r="BI223">
        <v>2.1324044623096938</v>
      </c>
      <c r="BJ223">
        <v>1.0788352102373722</v>
      </c>
      <c r="BK223">
        <v>2.1746545992135964</v>
      </c>
      <c r="BL223">
        <v>1.9468545352399076</v>
      </c>
      <c r="BM223">
        <v>-5.6381619858997851</v>
      </c>
      <c r="BN223">
        <v>4.3474845745627277</v>
      </c>
      <c r="BO223">
        <v>5.6338577677630184</v>
      </c>
    </row>
    <row r="224" spans="1:67">
      <c r="A224" t="s">
        <v>1216</v>
      </c>
      <c r="B224" t="s">
        <v>1217</v>
      </c>
      <c r="C224" t="s">
        <v>784</v>
      </c>
      <c r="D224" t="s">
        <v>785</v>
      </c>
      <c r="AU224">
        <v>3.3601881682219954</v>
      </c>
      <c r="AV224">
        <v>8.2915194611981775</v>
      </c>
      <c r="AW224">
        <v>3.5379059435684042</v>
      </c>
      <c r="AX224">
        <v>6.6146247503359916</v>
      </c>
      <c r="AY224">
        <v>8.8661093594402587</v>
      </c>
      <c r="AZ224">
        <v>3.641471851660242</v>
      </c>
      <c r="BA224">
        <v>6.228785069610197</v>
      </c>
      <c r="BB224">
        <v>3.3024141434211884</v>
      </c>
      <c r="BC224">
        <v>1.4484340046702329</v>
      </c>
      <c r="BD224">
        <v>1.9994495090304412</v>
      </c>
      <c r="BE224">
        <v>2.9429221603030697</v>
      </c>
      <c r="BF224">
        <v>5.119700882643528</v>
      </c>
      <c r="BG224">
        <v>4.9062098726186463</v>
      </c>
      <c r="BH224">
        <v>1.5396921689366536</v>
      </c>
      <c r="BI224">
        <v>5.1768217495539801</v>
      </c>
      <c r="BJ224">
        <v>4.1129686068298099</v>
      </c>
      <c r="BK224">
        <v>4.3781393993919551</v>
      </c>
      <c r="BL224">
        <v>2.0143193429343853</v>
      </c>
      <c r="BM224">
        <v>2.6248594954381161</v>
      </c>
      <c r="BN224">
        <v>1.8992989133783169</v>
      </c>
      <c r="BO224">
        <v>6.5282438084679484E-2</v>
      </c>
    </row>
    <row r="225" spans="1:67">
      <c r="A225" t="s">
        <v>1218</v>
      </c>
      <c r="B225" t="s">
        <v>1219</v>
      </c>
      <c r="C225" t="s">
        <v>784</v>
      </c>
      <c r="D225" t="s">
        <v>785</v>
      </c>
      <c r="F225">
        <v>4.7999999984688344</v>
      </c>
      <c r="G225">
        <v>3.9000000007305147</v>
      </c>
      <c r="H225">
        <v>5.600000000413587</v>
      </c>
      <c r="I225">
        <v>6.4999999992656541</v>
      </c>
      <c r="J225">
        <v>11.999999999448391</v>
      </c>
      <c r="K225">
        <v>19.200000001329798</v>
      </c>
      <c r="L225">
        <v>12.099999999443909</v>
      </c>
      <c r="M225">
        <v>7.5999999998095831</v>
      </c>
      <c r="N225">
        <v>4.499999999414797</v>
      </c>
      <c r="O225">
        <v>2.700000000345554</v>
      </c>
      <c r="P225">
        <v>3.8999999998803077</v>
      </c>
      <c r="Q225">
        <v>-0.60000000030720457</v>
      </c>
      <c r="R225">
        <v>-1.7999999999536413</v>
      </c>
      <c r="S225">
        <v>0.40000000017835191</v>
      </c>
      <c r="T225">
        <v>2.8000000009195105</v>
      </c>
      <c r="U225">
        <v>8.7999999996035712</v>
      </c>
      <c r="V225">
        <v>10.200000000282628</v>
      </c>
      <c r="W225">
        <v>6.599999997132457</v>
      </c>
      <c r="X225">
        <v>-0.59999999729608078</v>
      </c>
      <c r="Y225">
        <v>-8.800000000032</v>
      </c>
      <c r="Z225">
        <v>7.0999999994297696</v>
      </c>
      <c r="AA225">
        <v>-4.2000000000634827</v>
      </c>
      <c r="AB225">
        <v>-3.8999999999775383</v>
      </c>
      <c r="AC225">
        <v>-1.9000000003492232</v>
      </c>
      <c r="AD225">
        <v>2.0000000002720668</v>
      </c>
      <c r="AE225">
        <v>0.80000000057796683</v>
      </c>
      <c r="AF225">
        <v>-6.1999999998654829</v>
      </c>
      <c r="AG225">
        <v>7.7999999991418747</v>
      </c>
      <c r="AH225">
        <v>4.2000000004121887</v>
      </c>
      <c r="AI225">
        <v>-4.5000000005441763</v>
      </c>
      <c r="AJ225">
        <v>2.6999991342741225</v>
      </c>
      <c r="AK225">
        <v>0.40000000853616768</v>
      </c>
      <c r="AL225">
        <v>-6.6999981497151992</v>
      </c>
      <c r="AM225">
        <v>3.3999988973605753</v>
      </c>
      <c r="AN225">
        <v>0</v>
      </c>
      <c r="AO225">
        <v>1.0000012228145607</v>
      </c>
      <c r="AP225">
        <v>5.699997683294896</v>
      </c>
      <c r="AQ225">
        <v>2.3000016510538899</v>
      </c>
      <c r="AR225">
        <v>-1.400000470058103</v>
      </c>
      <c r="AS225">
        <v>2.099998867504894</v>
      </c>
      <c r="AT225">
        <v>4.2000004208353943</v>
      </c>
      <c r="AU225">
        <v>2.80000068850687</v>
      </c>
      <c r="AV225">
        <v>6.299999433141366</v>
      </c>
      <c r="AW225">
        <v>8.500000184794132</v>
      </c>
      <c r="AX225">
        <v>4.5000002108688761</v>
      </c>
      <c r="AY225">
        <v>5.7935435846330421</v>
      </c>
      <c r="AZ225">
        <v>5.1114877777345811</v>
      </c>
      <c r="BA225">
        <v>4.1434068116562628</v>
      </c>
      <c r="BB225">
        <v>3.0136989826621061</v>
      </c>
      <c r="BC225">
        <v>5.1688251522581368</v>
      </c>
      <c r="BD225">
        <v>5.8493676717300929</v>
      </c>
      <c r="BE225">
        <v>2.6903497466884687</v>
      </c>
      <c r="BF225">
        <v>2.9334416518612016</v>
      </c>
      <c r="BG225">
        <v>0.25550303164547472</v>
      </c>
      <c r="BH225">
        <v>-3.4110960130708889</v>
      </c>
      <c r="BI225">
        <v>-4.9157864687410751</v>
      </c>
      <c r="BJ225">
        <v>1.5683979824666778</v>
      </c>
      <c r="BK225">
        <v>4.9482710846888551</v>
      </c>
      <c r="BL225">
        <v>1.167589772338772</v>
      </c>
      <c r="BM225">
        <v>-15.975191714862191</v>
      </c>
      <c r="BN225">
        <v>-2.4353858361283756</v>
      </c>
      <c r="BO225">
        <v>2.4337237090053918</v>
      </c>
    </row>
    <row r="226" spans="1:67">
      <c r="A226" t="s">
        <v>1220</v>
      </c>
      <c r="B226" t="s">
        <v>1221</v>
      </c>
      <c r="C226" t="s">
        <v>784</v>
      </c>
      <c r="D226" t="s">
        <v>785</v>
      </c>
      <c r="AL226">
        <v>1.901328123563701</v>
      </c>
      <c r="AM226">
        <v>6.2055312027231651</v>
      </c>
      <c r="AN226">
        <v>5.843494233658646</v>
      </c>
      <c r="AO226">
        <v>6.6198981205071448</v>
      </c>
      <c r="AP226">
        <v>5.9258370836299719</v>
      </c>
      <c r="AQ226">
        <v>4.0760974788787649</v>
      </c>
      <c r="AR226">
        <v>-0.10591496212168749</v>
      </c>
      <c r="AS226">
        <v>1.1665265182411133</v>
      </c>
      <c r="AT226">
        <v>3.2537839810897538</v>
      </c>
      <c r="AU226">
        <v>4.509444137870247</v>
      </c>
      <c r="AV226">
        <v>5.4990830769915675</v>
      </c>
      <c r="AW226">
        <v>5.2788807178014423</v>
      </c>
      <c r="AX226">
        <v>6.6234612585053299</v>
      </c>
      <c r="AY226">
        <v>8.4931767453384452</v>
      </c>
      <c r="AZ226">
        <v>10.832028812965277</v>
      </c>
      <c r="BA226">
        <v>5.5748863451130006</v>
      </c>
      <c r="BB226">
        <v>-5.4555328671597891</v>
      </c>
      <c r="BC226">
        <v>6.7166327498308505</v>
      </c>
      <c r="BD226">
        <v>2.6714527790951479</v>
      </c>
      <c r="BE226">
        <v>1.3188022455628072</v>
      </c>
      <c r="BF226">
        <v>0.63274000729418844</v>
      </c>
      <c r="BG226">
        <v>2.6971898070712541</v>
      </c>
      <c r="BH226">
        <v>5.1671816061415399</v>
      </c>
      <c r="BI226">
        <v>1.9439508610233673</v>
      </c>
      <c r="BJ226">
        <v>2.9380686778490315</v>
      </c>
      <c r="BK226">
        <v>4.0303897142534879</v>
      </c>
      <c r="BL226">
        <v>2.5112561977637711</v>
      </c>
      <c r="BM226">
        <v>-3.3354988871031281</v>
      </c>
      <c r="BN226">
        <v>4.7891464594186175</v>
      </c>
      <c r="BO226">
        <v>1.7504481397421188</v>
      </c>
    </row>
    <row r="227" spans="1:67">
      <c r="A227" t="s">
        <v>1222</v>
      </c>
      <c r="B227" t="s">
        <v>1223</v>
      </c>
      <c r="C227" t="s">
        <v>784</v>
      </c>
      <c r="D227" t="s">
        <v>785</v>
      </c>
      <c r="AO227">
        <v>3.2030058085273225</v>
      </c>
      <c r="AP227">
        <v>5.0497934566449771</v>
      </c>
      <c r="AQ227">
        <v>3.2793654435130435</v>
      </c>
      <c r="AR227">
        <v>5.3326665718437027</v>
      </c>
      <c r="AS227">
        <v>3.6723715496824525</v>
      </c>
      <c r="AT227">
        <v>3.2165603345289071</v>
      </c>
      <c r="AU227">
        <v>3.5055980569207179</v>
      </c>
      <c r="AV227">
        <v>2.960260285794547</v>
      </c>
      <c r="AW227">
        <v>4.3591927784399189</v>
      </c>
      <c r="AX227">
        <v>3.7979726419864903</v>
      </c>
      <c r="AY227">
        <v>5.7463969006449958</v>
      </c>
      <c r="AZ227">
        <v>6.9801607545069402</v>
      </c>
      <c r="BA227">
        <v>3.5098415169955786</v>
      </c>
      <c r="BB227">
        <v>-7.5484377913417831</v>
      </c>
      <c r="BC227">
        <v>1.3437484722021509</v>
      </c>
      <c r="BD227">
        <v>0.86132773271930319</v>
      </c>
      <c r="BE227">
        <v>-2.6394387567668929</v>
      </c>
      <c r="BF227">
        <v>-1.0292827720405597</v>
      </c>
      <c r="BG227">
        <v>2.7681588306503642</v>
      </c>
      <c r="BH227">
        <v>2.2100816065059377</v>
      </c>
      <c r="BI227">
        <v>3.1918525178249837</v>
      </c>
      <c r="BJ227">
        <v>4.8153806323136621</v>
      </c>
      <c r="BK227">
        <v>4.4543657472189579</v>
      </c>
      <c r="BL227">
        <v>3.5226792399925415</v>
      </c>
      <c r="BM227">
        <v>-4.2408837217521409</v>
      </c>
      <c r="BN227">
        <v>8.2284998857849843</v>
      </c>
      <c r="BO227">
        <v>2.4607833136610395</v>
      </c>
    </row>
    <row r="228" spans="1:67">
      <c r="A228" t="s">
        <v>1224</v>
      </c>
      <c r="B228" t="s">
        <v>1225</v>
      </c>
      <c r="C228" t="s">
        <v>784</v>
      </c>
      <c r="D228" t="s">
        <v>785</v>
      </c>
      <c r="F228">
        <v>5.6812928095654911</v>
      </c>
      <c r="G228">
        <v>4.2590472283269776</v>
      </c>
      <c r="H228">
        <v>5.3279337882882629</v>
      </c>
      <c r="I228">
        <v>6.8211645004480346</v>
      </c>
      <c r="J228">
        <v>3.8215075855096785</v>
      </c>
      <c r="K228">
        <v>2.0908442894974115</v>
      </c>
      <c r="L228">
        <v>3.3653885828444032</v>
      </c>
      <c r="M228">
        <v>3.6385056642276794</v>
      </c>
      <c r="N228">
        <v>5.0090752148767876</v>
      </c>
      <c r="O228">
        <v>7.2892062604920795</v>
      </c>
      <c r="P228">
        <v>0.94464624571585887</v>
      </c>
      <c r="Q228">
        <v>2.2887387937982737</v>
      </c>
      <c r="R228">
        <v>3.967981154174538</v>
      </c>
      <c r="S228">
        <v>3.1981956458423895</v>
      </c>
      <c r="T228">
        <v>2.5528626427053496</v>
      </c>
      <c r="U228">
        <v>1.0581048766160137</v>
      </c>
      <c r="V228">
        <v>-1.5962585663413336</v>
      </c>
      <c r="W228">
        <v>1.7515480497740867</v>
      </c>
      <c r="X228">
        <v>3.8400034766003159</v>
      </c>
      <c r="Y228">
        <v>1.6999714393924705</v>
      </c>
      <c r="Z228">
        <v>0.45483041663563029</v>
      </c>
      <c r="AA228">
        <v>1.2486646792272467</v>
      </c>
      <c r="AB228">
        <v>1.9006387302032692</v>
      </c>
      <c r="AC228">
        <v>4.2295352449170309</v>
      </c>
      <c r="AD228">
        <v>2.1603737456558463</v>
      </c>
      <c r="AE228">
        <v>2.6913231733863654</v>
      </c>
      <c r="AF228">
        <v>3.3538429842478195</v>
      </c>
      <c r="AG228">
        <v>2.5590386654457404</v>
      </c>
      <c r="AH228">
        <v>2.6548069272007524</v>
      </c>
      <c r="AI228">
        <v>0.75467476866684535</v>
      </c>
      <c r="AJ228">
        <v>-1.1459748685806517</v>
      </c>
      <c r="AK228">
        <v>-1.1585927600785908</v>
      </c>
      <c r="AL228">
        <v>-2.0656163696098275</v>
      </c>
      <c r="AM228">
        <v>3.9299728368169724</v>
      </c>
      <c r="AN228">
        <v>3.9351929260644596</v>
      </c>
      <c r="AO228">
        <v>1.5794564064992329</v>
      </c>
      <c r="AP228">
        <v>3.0705265929637449</v>
      </c>
      <c r="AQ228">
        <v>4.3118363532626915</v>
      </c>
      <c r="AR228">
        <v>4.2471841436754829</v>
      </c>
      <c r="AS228">
        <v>4.766348871487196</v>
      </c>
      <c r="AT228">
        <v>1.4494986179698088</v>
      </c>
      <c r="AU228">
        <v>2.1969210621745958</v>
      </c>
      <c r="AV228">
        <v>2.3098105903281123</v>
      </c>
      <c r="AW228">
        <v>4.3368561538447352</v>
      </c>
      <c r="AX228">
        <v>2.8588032399026133</v>
      </c>
      <c r="AY228">
        <v>4.6627735517512576</v>
      </c>
      <c r="AZ228">
        <v>3.4392217760006503</v>
      </c>
      <c r="BA228">
        <v>-0.45055925674336095</v>
      </c>
      <c r="BB228">
        <v>-4.3397905745293457</v>
      </c>
      <c r="BC228">
        <v>5.95210700755608</v>
      </c>
      <c r="BD228">
        <v>3.1953332348894037</v>
      </c>
      <c r="BE228">
        <v>-0.58830456899073624</v>
      </c>
      <c r="BF228">
        <v>1.1877757159059996</v>
      </c>
      <c r="BG228">
        <v>2.6577982753164235</v>
      </c>
      <c r="BH228">
        <v>4.4892815879049124</v>
      </c>
      <c r="BI228">
        <v>2.0705931505209634</v>
      </c>
      <c r="BJ228">
        <v>2.5679245252647576</v>
      </c>
      <c r="BK228">
        <v>1.9500228456998343</v>
      </c>
      <c r="BL228">
        <v>1.9861958738039078</v>
      </c>
      <c r="BM228">
        <v>-2.1702131788587167</v>
      </c>
      <c r="BN228">
        <v>6.1470246470801868</v>
      </c>
      <c r="BO228">
        <v>2.911772028441618</v>
      </c>
    </row>
    <row r="229" spans="1:67">
      <c r="A229" t="s">
        <v>1226</v>
      </c>
      <c r="B229" t="s">
        <v>1227</v>
      </c>
      <c r="C229" t="s">
        <v>784</v>
      </c>
      <c r="D229" t="s">
        <v>785</v>
      </c>
      <c r="P229">
        <v>13.743633730655901</v>
      </c>
      <c r="Q229">
        <v>5.4242942826437002</v>
      </c>
      <c r="R229">
        <v>9.0186737385881059</v>
      </c>
      <c r="S229">
        <v>5.7434869047628041</v>
      </c>
      <c r="T229">
        <v>13.908444106606368</v>
      </c>
      <c r="U229">
        <v>-2.1194377656464525</v>
      </c>
      <c r="V229">
        <v>1.0095929078720616</v>
      </c>
      <c r="W229">
        <v>1.3271287284206608</v>
      </c>
      <c r="X229">
        <v>3.1069450512420076</v>
      </c>
      <c r="Y229">
        <v>12.449052171671042</v>
      </c>
      <c r="Z229">
        <v>14.641441073910897</v>
      </c>
      <c r="AA229">
        <v>1.1725678797536858</v>
      </c>
      <c r="AB229">
        <v>1.2023548984267762</v>
      </c>
      <c r="AC229">
        <v>6.1617550869083004</v>
      </c>
      <c r="AD229">
        <v>3.7924156916512004</v>
      </c>
      <c r="AE229">
        <v>12.264478039883869</v>
      </c>
      <c r="AF229">
        <v>14.606590236782296</v>
      </c>
      <c r="AG229">
        <v>6.5698215710544616</v>
      </c>
      <c r="AH229">
        <v>12.911104072814879</v>
      </c>
      <c r="AI229">
        <v>21.018000536139496</v>
      </c>
      <c r="AJ229">
        <v>1.7603763493116702</v>
      </c>
      <c r="AK229">
        <v>3.2262068810839537</v>
      </c>
      <c r="AL229">
        <v>3.1061141567694079</v>
      </c>
      <c r="AM229">
        <v>2.4006910390288283</v>
      </c>
      <c r="AN229">
        <v>4.8256515499647037</v>
      </c>
      <c r="AO229">
        <v>3.8420536377188057</v>
      </c>
      <c r="AP229">
        <v>3.1028053503962383</v>
      </c>
      <c r="AQ229">
        <v>2.6040394013294872</v>
      </c>
      <c r="AR229">
        <v>2.9508752114854104</v>
      </c>
      <c r="AS229">
        <v>1.7601737602222443</v>
      </c>
      <c r="AT229">
        <v>1.0547649060689253</v>
      </c>
      <c r="AU229">
        <v>4.3800990879008879</v>
      </c>
      <c r="AV229">
        <v>3.8802135859712621</v>
      </c>
      <c r="AW229">
        <v>3.6239142259662458</v>
      </c>
      <c r="AX229">
        <v>5.9987765498792527</v>
      </c>
      <c r="AY229">
        <v>5.9921668378351001</v>
      </c>
      <c r="AZ229">
        <v>4.4353755768697454</v>
      </c>
      <c r="BA229">
        <v>0.82166391380005166</v>
      </c>
      <c r="BB229">
        <v>1.5650488524351545</v>
      </c>
      <c r="BC229">
        <v>3.7937549682814904</v>
      </c>
      <c r="BD229">
        <v>2.2472297610679988</v>
      </c>
      <c r="BE229">
        <v>5.3966306966672732</v>
      </c>
      <c r="BF229">
        <v>3.861213797666224</v>
      </c>
      <c r="BG229">
        <v>0.92323054714435671</v>
      </c>
      <c r="BH229">
        <v>2.2274806753240597</v>
      </c>
      <c r="BI229">
        <v>1.0626101934285259</v>
      </c>
      <c r="BJ229">
        <v>2.026578155749803</v>
      </c>
      <c r="BK229">
        <v>2.3800954953486553</v>
      </c>
      <c r="BL229">
        <v>2.6921682727167848</v>
      </c>
      <c r="BM229">
        <v>-1.5596426918154123</v>
      </c>
      <c r="BN229">
        <v>10.68333714760017</v>
      </c>
      <c r="BO229">
        <v>0.47644494919802582</v>
      </c>
    </row>
    <row r="230" spans="1:67">
      <c r="A230" t="s">
        <v>1228</v>
      </c>
      <c r="B230" t="s">
        <v>1229</v>
      </c>
      <c r="C230" t="s">
        <v>784</v>
      </c>
      <c r="D230" t="s">
        <v>785</v>
      </c>
      <c r="BC230">
        <v>3.1999940215449101</v>
      </c>
      <c r="BD230">
        <v>4.6000029964192066</v>
      </c>
      <c r="BE230">
        <v>1.3905466698495417</v>
      </c>
      <c r="BF230">
        <v>1.3067278827475519</v>
      </c>
      <c r="BG230">
        <v>1.5803846377318678</v>
      </c>
      <c r="BH230">
        <v>0.10581110113471937</v>
      </c>
      <c r="BI230">
        <v>0.96776136655263656</v>
      </c>
      <c r="BJ230">
        <v>-7.5352146706410821</v>
      </c>
      <c r="BK230">
        <v>-6.8569841271231837</v>
      </c>
      <c r="BL230">
        <v>10.964999503588714</v>
      </c>
      <c r="BM230">
        <v>-13.316787866840855</v>
      </c>
      <c r="BN230">
        <v>4.5775980031109071</v>
      </c>
      <c r="BO230">
        <v>9.7999999999997414</v>
      </c>
    </row>
    <row r="231" spans="1:67">
      <c r="A231" t="s">
        <v>1230</v>
      </c>
      <c r="B231" t="s">
        <v>1231</v>
      </c>
      <c r="C231" t="s">
        <v>784</v>
      </c>
      <c r="D231" t="s">
        <v>785</v>
      </c>
      <c r="F231">
        <v>-4.8822763613212601</v>
      </c>
      <c r="G231">
        <v>8.4085812717188873</v>
      </c>
      <c r="H231">
        <v>10.13560295821334</v>
      </c>
      <c r="I231">
        <v>5.9192464561403426</v>
      </c>
      <c r="J231">
        <v>-1.0605710966055284</v>
      </c>
      <c r="K231">
        <v>13.896507570330314</v>
      </c>
      <c r="L231">
        <v>0.50473946250177448</v>
      </c>
      <c r="M231">
        <v>7.5532356388422954</v>
      </c>
      <c r="N231">
        <v>0</v>
      </c>
      <c r="O231">
        <v>8.8718698648759187</v>
      </c>
      <c r="P231">
        <v>15.851775742510682</v>
      </c>
      <c r="Q231">
        <v>6.3083079664031345</v>
      </c>
      <c r="R231">
        <v>9.0541863115232388</v>
      </c>
      <c r="S231">
        <v>1.3028496756374324</v>
      </c>
      <c r="T231">
        <v>3.1774050717928333</v>
      </c>
      <c r="U231">
        <v>16.277647723416806</v>
      </c>
      <c r="V231">
        <v>-6.1902268134725063</v>
      </c>
      <c r="W231">
        <v>21.151692524025151</v>
      </c>
      <c r="X231">
        <v>15.794340620172093</v>
      </c>
      <c r="Y231">
        <v>-5.1006770011710501</v>
      </c>
      <c r="Z231">
        <v>-3.8767831104162411</v>
      </c>
      <c r="AA231">
        <v>-2.0710744182979255</v>
      </c>
      <c r="AB231">
        <v>-0.61623524598145707</v>
      </c>
      <c r="AC231">
        <v>4.3056228783025574</v>
      </c>
      <c r="AD231">
        <v>10.293741641044178</v>
      </c>
      <c r="AE231">
        <v>0.76194663152683972</v>
      </c>
      <c r="AF231">
        <v>4.8745523831762654</v>
      </c>
      <c r="AG231">
        <v>5.3264103860060459</v>
      </c>
      <c r="AH231">
        <v>10.285654610204276</v>
      </c>
      <c r="AI231">
        <v>7.4547663193407203</v>
      </c>
      <c r="AJ231">
        <v>2.7604262626282292</v>
      </c>
      <c r="AK231">
        <v>7.1730439538797413</v>
      </c>
      <c r="AL231">
        <v>7.3033707678707032</v>
      </c>
      <c r="AM231">
        <v>-2.4365688106077386</v>
      </c>
      <c r="AN231">
        <v>0.48503669925345605</v>
      </c>
      <c r="AO231">
        <v>9.99794595219808</v>
      </c>
      <c r="AP231">
        <v>12.193641751411022</v>
      </c>
      <c r="AQ231">
        <v>2.4674409352512043</v>
      </c>
      <c r="AR231">
        <v>1.8720051089387937</v>
      </c>
      <c r="AS231">
        <v>4.2531983493182821</v>
      </c>
      <c r="AT231">
        <v>-2.2711628855298187</v>
      </c>
      <c r="AU231">
        <v>1.212832902593135</v>
      </c>
      <c r="AV231">
        <v>-5.8871284876447731</v>
      </c>
      <c r="AW231">
        <v>-2.8504539768537995</v>
      </c>
      <c r="AX231">
        <v>9.0057617374237964</v>
      </c>
      <c r="AY231">
        <v>9.4061285573282731</v>
      </c>
      <c r="AZ231">
        <v>8.8760664557087949</v>
      </c>
      <c r="BA231">
        <v>-2.7259462615486427</v>
      </c>
      <c r="BB231">
        <v>-2.4793759472613743</v>
      </c>
      <c r="BC231">
        <v>4.5051320431206676</v>
      </c>
      <c r="BD231">
        <v>9.5097833517957042</v>
      </c>
      <c r="BE231">
        <v>3.1106784939242971</v>
      </c>
      <c r="BF231">
        <v>1.2537349624294905</v>
      </c>
      <c r="BG231">
        <v>4.0636918123521042</v>
      </c>
      <c r="BH231">
        <v>4.1945869243743772</v>
      </c>
      <c r="BI231">
        <v>5.1048268289094523</v>
      </c>
      <c r="BJ231">
        <v>2.7867103381293674</v>
      </c>
      <c r="BK231">
        <v>3.7066800602712107</v>
      </c>
      <c r="BL231">
        <v>4.8769856644711496</v>
      </c>
      <c r="BM231">
        <v>-7.7283944123758914</v>
      </c>
      <c r="BN231">
        <v>5.426822752146478</v>
      </c>
      <c r="BO231">
        <v>9.0003073673221792</v>
      </c>
    </row>
    <row r="232" spans="1:67">
      <c r="A232" t="s">
        <v>1232</v>
      </c>
      <c r="B232" t="s">
        <v>1233</v>
      </c>
      <c r="C232" t="s">
        <v>784</v>
      </c>
      <c r="D232" t="s">
        <v>785</v>
      </c>
      <c r="F232">
        <v>10.833063900000212</v>
      </c>
      <c r="G232">
        <v>24.521297171784866</v>
      </c>
      <c r="H232">
        <v>-8.6527466722075985</v>
      </c>
      <c r="I232">
        <v>9.2713638022406997</v>
      </c>
      <c r="J232">
        <v>2.2993738753767587</v>
      </c>
      <c r="K232">
        <v>-7.6590655102021117</v>
      </c>
      <c r="L232">
        <v>8.257682647050828</v>
      </c>
      <c r="M232">
        <v>3.7290802210556535</v>
      </c>
      <c r="N232">
        <v>18.767915211832147</v>
      </c>
      <c r="O232">
        <v>-1.7968528752820134</v>
      </c>
      <c r="P232">
        <v>8.9558145627442087</v>
      </c>
      <c r="Q232">
        <v>25.660715199263322</v>
      </c>
      <c r="R232">
        <v>-10.469854943838058</v>
      </c>
      <c r="S232">
        <v>25.795772854596379</v>
      </c>
      <c r="T232">
        <v>16.351576055523424</v>
      </c>
      <c r="U232">
        <v>12.254446601941751</v>
      </c>
      <c r="V232">
        <v>-1.7995178775541802</v>
      </c>
      <c r="W232">
        <v>9.9425901239230399</v>
      </c>
      <c r="X232">
        <v>0.88798882323537498</v>
      </c>
      <c r="Y232">
        <v>14.508116953239551</v>
      </c>
      <c r="Z232">
        <v>7.755343864624308</v>
      </c>
      <c r="AA232">
        <v>2.7890866482567276</v>
      </c>
      <c r="AB232">
        <v>2.3203399372133902</v>
      </c>
      <c r="AC232">
        <v>-7.610630211871964</v>
      </c>
      <c r="AD232">
        <v>9.350807331789099</v>
      </c>
      <c r="AE232">
        <v>-7.952928955436775</v>
      </c>
      <c r="AF232">
        <v>1.6822823455100462</v>
      </c>
      <c r="AG232">
        <v>18.011140100219492</v>
      </c>
      <c r="AH232">
        <v>-13.647282176715109</v>
      </c>
      <c r="AI232">
        <v>3.7395559023375142</v>
      </c>
      <c r="AJ232">
        <v>7.6664681871244227</v>
      </c>
      <c r="AK232">
        <v>12.972790068566042</v>
      </c>
      <c r="AL232">
        <v>6.1508955731007546</v>
      </c>
      <c r="AM232">
        <v>7.2130292052743101</v>
      </c>
      <c r="AN232">
        <v>7.0265895430311502</v>
      </c>
      <c r="AO232">
        <v>9.8255694047096398</v>
      </c>
      <c r="AP232">
        <v>5.0238045081104019</v>
      </c>
      <c r="AQ232">
        <v>6.7853045243386703</v>
      </c>
      <c r="AR232">
        <v>-3.553449871090038</v>
      </c>
      <c r="AS232">
        <v>0.6756425894105007</v>
      </c>
      <c r="AT232">
        <v>1.0472871019198067</v>
      </c>
      <c r="AU232">
        <v>3.9548319270274419</v>
      </c>
      <c r="AV232">
        <v>7.204435052744131</v>
      </c>
      <c r="AW232">
        <v>6.9029594348920256</v>
      </c>
      <c r="AX232">
        <v>6.2150778353928189</v>
      </c>
      <c r="AY232">
        <v>5.0461955558552631</v>
      </c>
      <c r="AZ232">
        <v>5.6745917768580512</v>
      </c>
      <c r="BA232">
        <v>4.4766727360801895</v>
      </c>
      <c r="BB232">
        <v>5.9120427933770543</v>
      </c>
      <c r="BC232">
        <v>5.1919058407533072</v>
      </c>
      <c r="BD232">
        <v>2.850002843579702</v>
      </c>
      <c r="BE232">
        <v>-26.339017077253246</v>
      </c>
      <c r="BF232">
        <v>-26.300087664199737</v>
      </c>
      <c r="BG232">
        <v>-10.310339902441314</v>
      </c>
      <c r="BH232">
        <v>-4.1797916167935512</v>
      </c>
      <c r="BI232">
        <v>-6.405590739361898</v>
      </c>
      <c r="BJ232">
        <v>-0.72328177747054667</v>
      </c>
      <c r="BK232">
        <v>1.3931760783083718</v>
      </c>
      <c r="BL232">
        <v>1.2207052207052271</v>
      </c>
      <c r="BM232">
        <v>-0.18233046702626154</v>
      </c>
      <c r="BN232">
        <v>1.2997380895183142</v>
      </c>
    </row>
    <row r="233" spans="1:67">
      <c r="A233" t="s">
        <v>1234</v>
      </c>
      <c r="B233" t="s">
        <v>1235</v>
      </c>
      <c r="C233" t="s">
        <v>784</v>
      </c>
      <c r="D233" t="s">
        <v>785</v>
      </c>
      <c r="BE233">
        <v>-0.97229935533214018</v>
      </c>
      <c r="BF233">
        <v>1.07087701348118</v>
      </c>
      <c r="BG233">
        <v>8.7112965815268524</v>
      </c>
      <c r="BH233">
        <v>11.314834133633056</v>
      </c>
      <c r="BI233">
        <v>7.2511805497306199</v>
      </c>
      <c r="BJ233">
        <v>-2.4902189924579403</v>
      </c>
      <c r="BK233">
        <v>5.6109563744354745</v>
      </c>
      <c r="BL233">
        <v>5.3245514831690173</v>
      </c>
      <c r="BM233">
        <v>-26.78287692742046</v>
      </c>
      <c r="BN233">
        <v>9.0000000000000142</v>
      </c>
      <c r="BO233">
        <v>6.2</v>
      </c>
    </row>
    <row r="234" spans="1:67">
      <c r="A234" t="s">
        <v>1236</v>
      </c>
      <c r="B234" t="s">
        <v>1237</v>
      </c>
      <c r="C234" t="s">
        <v>784</v>
      </c>
      <c r="D234" t="s">
        <v>785</v>
      </c>
      <c r="F234">
        <v>1.3977436707753839</v>
      </c>
      <c r="G234">
        <v>5.3601161089397777</v>
      </c>
      <c r="H234">
        <v>-1.5994540152080532</v>
      </c>
      <c r="I234">
        <v>-2.5109396034681026</v>
      </c>
      <c r="J234">
        <v>0.60622778632574637</v>
      </c>
      <c r="K234">
        <v>-1.8070923919983954</v>
      </c>
      <c r="L234">
        <v>0.76720138229009649</v>
      </c>
      <c r="M234">
        <v>-0.45721886653811339</v>
      </c>
      <c r="N234">
        <v>6.8813102237921271</v>
      </c>
      <c r="O234">
        <v>1.8596564785553653</v>
      </c>
      <c r="P234">
        <v>-2.2476263724496732</v>
      </c>
      <c r="Q234">
        <v>1.149616094832723</v>
      </c>
      <c r="R234">
        <v>-8.3808830080084107</v>
      </c>
      <c r="S234">
        <v>4.9618525825386683</v>
      </c>
      <c r="T234">
        <v>9.0102673055045415</v>
      </c>
      <c r="U234">
        <v>2.98076526952687</v>
      </c>
      <c r="V234">
        <v>2.2346248491377168</v>
      </c>
      <c r="W234">
        <v>-0.46963418803200341</v>
      </c>
      <c r="X234">
        <v>-21.441087688912191</v>
      </c>
      <c r="Y234">
        <v>-6.0476707473300593</v>
      </c>
      <c r="Z234">
        <v>1.0429181025977812</v>
      </c>
      <c r="AA234">
        <v>5.3466089993691241</v>
      </c>
      <c r="AB234">
        <v>15.678717778733755</v>
      </c>
      <c r="AC234">
        <v>2.0488989108163054</v>
      </c>
      <c r="AD234">
        <v>21.792773530391969</v>
      </c>
      <c r="AE234">
        <v>-4.0816675172733596</v>
      </c>
      <c r="AF234">
        <v>-2.3888084973240353</v>
      </c>
      <c r="AG234">
        <v>15.482359070013274</v>
      </c>
      <c r="AH234">
        <v>4.8847351025103762</v>
      </c>
      <c r="AI234">
        <v>-4.178472372776767</v>
      </c>
      <c r="AJ234">
        <v>8.5351371664717419</v>
      </c>
      <c r="AK234">
        <v>8.0014433463192631</v>
      </c>
      <c r="AL234">
        <v>-15.709837045207735</v>
      </c>
      <c r="AM234">
        <v>10.136887633514718</v>
      </c>
      <c r="AN234">
        <v>1.236549316864938</v>
      </c>
      <c r="AO234">
        <v>2.2144730346744126</v>
      </c>
      <c r="AP234">
        <v>5.6533923278835516</v>
      </c>
      <c r="AQ234">
        <v>6.9515799135400727</v>
      </c>
      <c r="AR234">
        <v>-0.68285021729774087</v>
      </c>
      <c r="AS234">
        <v>-0.87968102544483884</v>
      </c>
      <c r="AT234">
        <v>11.658134654294017</v>
      </c>
      <c r="AU234">
        <v>8.4912098189805647</v>
      </c>
      <c r="AV234">
        <v>14.72166701210331</v>
      </c>
      <c r="AW234">
        <v>33.629371852465852</v>
      </c>
      <c r="AX234">
        <v>17.3325337350837</v>
      </c>
      <c r="AY234">
        <v>0.64826201409451301</v>
      </c>
      <c r="AZ234">
        <v>3.2714995788864343</v>
      </c>
      <c r="BA234">
        <v>3.0526915319682786</v>
      </c>
      <c r="BB234">
        <v>4.2176955518963268</v>
      </c>
      <c r="BC234">
        <v>13.550100859548948</v>
      </c>
      <c r="BD234">
        <v>8.2869798438196085E-2</v>
      </c>
      <c r="BE234">
        <v>8.8825760717031557</v>
      </c>
      <c r="BF234">
        <v>5.700001362858643</v>
      </c>
      <c r="BG234">
        <v>6.8999850453216567</v>
      </c>
      <c r="BH234">
        <v>2.7676756848447326</v>
      </c>
      <c r="BI234">
        <v>-6.2555270854528118</v>
      </c>
      <c r="BJ234">
        <v>-2.9886959855393087</v>
      </c>
      <c r="BK234">
        <v>2.3740378003778631</v>
      </c>
      <c r="BL234">
        <v>3.2471819174342897</v>
      </c>
      <c r="BM234">
        <v>-1.6000067370552387</v>
      </c>
      <c r="BN234">
        <v>-1.199990524609504</v>
      </c>
      <c r="BO234">
        <v>2.2359796746621612</v>
      </c>
    </row>
    <row r="235" spans="1:67">
      <c r="A235" t="s">
        <v>1238</v>
      </c>
      <c r="B235" t="s">
        <v>1239</v>
      </c>
      <c r="C235" t="s">
        <v>784</v>
      </c>
      <c r="D235" t="s">
        <v>785</v>
      </c>
      <c r="F235">
        <v>-13.327860658865433</v>
      </c>
      <c r="G235">
        <v>-0.64012410891874083</v>
      </c>
      <c r="H235">
        <v>6.4396795922365726</v>
      </c>
      <c r="I235">
        <v>10.784183660910514</v>
      </c>
      <c r="J235">
        <v>10.781795459165266</v>
      </c>
      <c r="K235">
        <v>8.001839734178958</v>
      </c>
      <c r="L235">
        <v>-1.4207044050271236</v>
      </c>
      <c r="M235">
        <v>1.7739065095434086</v>
      </c>
      <c r="N235">
        <v>11.384263099974305</v>
      </c>
      <c r="O235">
        <v>13.441445173459527</v>
      </c>
      <c r="P235">
        <v>6.7698723282605187</v>
      </c>
      <c r="Q235">
        <v>4.9081216033348056</v>
      </c>
      <c r="R235">
        <v>8.2597410216756373</v>
      </c>
      <c r="S235">
        <v>3.867187441812419</v>
      </c>
      <c r="T235">
        <v>6.8405663890912933</v>
      </c>
      <c r="U235">
        <v>2.8455063643692711</v>
      </c>
      <c r="V235">
        <v>7.5732421048808902</v>
      </c>
      <c r="W235">
        <v>9.2602925155066202</v>
      </c>
      <c r="X235">
        <v>7.1017483917672308</v>
      </c>
      <c r="Y235">
        <v>7.5660050983451583</v>
      </c>
      <c r="Z235">
        <v>5.5985941482811228</v>
      </c>
      <c r="AA235">
        <v>6.4379492174070521</v>
      </c>
      <c r="AB235">
        <v>7.7368215366634843</v>
      </c>
      <c r="AC235">
        <v>9.9551753607334206</v>
      </c>
      <c r="AD235">
        <v>7.8987937931246961</v>
      </c>
      <c r="AE235">
        <v>7.1329337469997682</v>
      </c>
      <c r="AF235">
        <v>9.14535383830912</v>
      </c>
      <c r="AG235">
        <v>9.7312661763817516</v>
      </c>
      <c r="AH235">
        <v>5.7576852871012107</v>
      </c>
      <c r="AI235">
        <v>5.1637713044433724</v>
      </c>
      <c r="AJ235">
        <v>8.0041156952016053</v>
      </c>
      <c r="AK235">
        <v>11.192365596570355</v>
      </c>
      <c r="AL235">
        <v>11.286414662677259</v>
      </c>
      <c r="AM235">
        <v>10.936347310050593</v>
      </c>
      <c r="AN235">
        <v>9.8747780328417605</v>
      </c>
      <c r="AO235">
        <v>9.0633593315548922</v>
      </c>
      <c r="AP235">
        <v>7.3435512821634461</v>
      </c>
      <c r="AQ235">
        <v>2.8951183892269086</v>
      </c>
      <c r="AR235">
        <v>6.389313830667362</v>
      </c>
      <c r="AS235">
        <v>7.6390864514786188</v>
      </c>
      <c r="AT235">
        <v>6.979533653797418</v>
      </c>
      <c r="AU235">
        <v>8.0599947824183715</v>
      </c>
      <c r="AV235">
        <v>8.9442388729175093</v>
      </c>
      <c r="AW235">
        <v>9.1211661991703892</v>
      </c>
      <c r="AX235">
        <v>9.9766628939637911</v>
      </c>
      <c r="AY235">
        <v>11.077725790987898</v>
      </c>
      <c r="AZ235">
        <v>12.486128314410422</v>
      </c>
      <c r="BA235">
        <v>8.6154669415859075</v>
      </c>
      <c r="BB235">
        <v>7.984440684775862</v>
      </c>
      <c r="BC235">
        <v>9.9210697122912137</v>
      </c>
      <c r="BD235">
        <v>8.6428492696400525</v>
      </c>
      <c r="BE235">
        <v>7.5802809519052232</v>
      </c>
      <c r="BF235">
        <v>7.2984295066716527</v>
      </c>
      <c r="BG235">
        <v>6.983569506864157</v>
      </c>
      <c r="BH235">
        <v>6.7070627542030934</v>
      </c>
      <c r="BI235">
        <v>6.5652740558799678</v>
      </c>
      <c r="BJ235">
        <v>6.7073995876116186</v>
      </c>
      <c r="BK235">
        <v>6.5249345987385681</v>
      </c>
      <c r="BL235">
        <v>5.7817078299781173</v>
      </c>
      <c r="BM235">
        <v>1.2461901128082644</v>
      </c>
      <c r="BN235">
        <v>7.6011977174666185</v>
      </c>
      <c r="BO235">
        <v>3.414230250201399</v>
      </c>
    </row>
    <row r="236" spans="1:67">
      <c r="A236" t="s">
        <v>1240</v>
      </c>
      <c r="B236" t="s">
        <v>1241</v>
      </c>
      <c r="C236" t="s">
        <v>784</v>
      </c>
      <c r="D236" t="s">
        <v>785</v>
      </c>
      <c r="AI236">
        <v>-1.4570044084827458</v>
      </c>
      <c r="AJ236">
        <v>-5.520349840159156</v>
      </c>
      <c r="AK236">
        <v>-9.4261523977681065</v>
      </c>
      <c r="AL236">
        <v>-4.6112084227039247</v>
      </c>
      <c r="AM236">
        <v>-8.6114464089405658</v>
      </c>
      <c r="AN236">
        <v>-0.27204534541260728</v>
      </c>
      <c r="AO236">
        <v>1.0522710494879561</v>
      </c>
      <c r="AP236">
        <v>2.9261071260524858</v>
      </c>
      <c r="AQ236">
        <v>-0.64770668895013728</v>
      </c>
      <c r="AR236">
        <v>2.4648052778651959</v>
      </c>
      <c r="AS236">
        <v>7.3989945264543167</v>
      </c>
      <c r="AT236">
        <v>2.5931067429457073</v>
      </c>
      <c r="AU236">
        <v>5.0119829836475844</v>
      </c>
      <c r="AV236">
        <v>6.1813097215641619</v>
      </c>
      <c r="AW236">
        <v>7.8681169864512697</v>
      </c>
      <c r="AX236">
        <v>6.6432928019731037</v>
      </c>
      <c r="AY236">
        <v>7.8532015171622902</v>
      </c>
      <c r="AZ236">
        <v>7.627610725692918</v>
      </c>
      <c r="BA236">
        <v>4.4561172767486568</v>
      </c>
      <c r="BB236">
        <v>-4.6725468535617978</v>
      </c>
      <c r="BC236">
        <v>4.6322884556435611</v>
      </c>
      <c r="BD236">
        <v>5.9259471549508049</v>
      </c>
      <c r="BE236">
        <v>3.454771304344618</v>
      </c>
      <c r="BF236">
        <v>3.38418241846054</v>
      </c>
      <c r="BG236">
        <v>2.3379173688533825</v>
      </c>
      <c r="BH236">
        <v>1.4863172417729658</v>
      </c>
      <c r="BI236">
        <v>1.8488520354621443</v>
      </c>
      <c r="BJ236">
        <v>4.2916726525375424</v>
      </c>
      <c r="BK236">
        <v>3.6870827647000226</v>
      </c>
      <c r="BL236">
        <v>2.6543534085380571</v>
      </c>
      <c r="BM236">
        <v>-1.5720270257629636</v>
      </c>
      <c r="BN236">
        <v>7.3797478628800519</v>
      </c>
      <c r="BO236">
        <v>1.6603522901189649</v>
      </c>
    </row>
    <row r="237" spans="1:67">
      <c r="A237" t="s">
        <v>1242</v>
      </c>
      <c r="B237" t="s">
        <v>1243</v>
      </c>
      <c r="C237" t="s">
        <v>784</v>
      </c>
      <c r="D237" t="s">
        <v>785</v>
      </c>
      <c r="F237">
        <v>12.169317371654273</v>
      </c>
      <c r="G237">
        <v>3.7736528319364027</v>
      </c>
      <c r="H237">
        <v>4.9996942708476553</v>
      </c>
      <c r="I237">
        <v>14.28601126305287</v>
      </c>
      <c r="J237">
        <v>15.459712706293686</v>
      </c>
      <c r="K237">
        <v>9.4087191006688755</v>
      </c>
      <c r="L237">
        <v>5.5003715576668526</v>
      </c>
      <c r="M237">
        <v>5.0236918524871044</v>
      </c>
      <c r="N237">
        <v>10.830868344100935</v>
      </c>
      <c r="O237">
        <v>2.5243026452813808</v>
      </c>
      <c r="P237">
        <v>0</v>
      </c>
      <c r="Q237">
        <v>7.6251575468440791</v>
      </c>
      <c r="R237">
        <v>3.8374840024311538</v>
      </c>
      <c r="S237">
        <v>4.8328491185245355</v>
      </c>
      <c r="T237">
        <v>2.440541183540617</v>
      </c>
      <c r="U237">
        <v>-2.051522587126982</v>
      </c>
      <c r="V237">
        <v>6.9590853729645232</v>
      </c>
      <c r="W237">
        <v>11.045434507345121</v>
      </c>
      <c r="X237">
        <v>-5.1677426455198088</v>
      </c>
      <c r="Y237">
        <v>14.57695610965051</v>
      </c>
      <c r="Z237">
        <v>-3.3151860775686259</v>
      </c>
      <c r="AA237">
        <v>-3.5824025462852092</v>
      </c>
      <c r="AB237">
        <v>-5.4140077846691099</v>
      </c>
      <c r="AC237">
        <v>5.5555550411679633</v>
      </c>
      <c r="AD237">
        <v>5.5555521635342728</v>
      </c>
      <c r="AE237">
        <v>1.5865043145894049</v>
      </c>
      <c r="AF237">
        <v>0.51016218065242924</v>
      </c>
      <c r="AG237">
        <v>6.6423697703107649</v>
      </c>
      <c r="AH237">
        <v>4.0600216835488823</v>
      </c>
      <c r="AI237">
        <v>-0.24365613446204293</v>
      </c>
      <c r="AJ237">
        <v>-0.69996749377767742</v>
      </c>
      <c r="AK237">
        <v>-3.9806868137454785</v>
      </c>
      <c r="AL237">
        <v>-15.095827485872064</v>
      </c>
      <c r="AM237">
        <v>14.98241435023975</v>
      </c>
      <c r="AN237">
        <v>7.8458323191036925</v>
      </c>
      <c r="AO237">
        <v>8.8362116315135353</v>
      </c>
      <c r="AP237">
        <v>14.377377570583903</v>
      </c>
      <c r="AQ237">
        <v>-2.2998765678461695</v>
      </c>
      <c r="AR237">
        <v>2.4817514358493895</v>
      </c>
      <c r="AS237">
        <v>-0.78347960638993186</v>
      </c>
      <c r="AT237">
        <v>0.82343874878093004</v>
      </c>
      <c r="AU237">
        <v>3.8266225796226934</v>
      </c>
      <c r="AV237">
        <v>6.720171423011962</v>
      </c>
      <c r="AW237">
        <v>-0.97866533539247769</v>
      </c>
      <c r="AX237">
        <v>-4.6662993824191545</v>
      </c>
      <c r="AY237">
        <v>2.6501320995313336</v>
      </c>
      <c r="AZ237">
        <v>-1.1751203909526282</v>
      </c>
      <c r="BA237">
        <v>4.0356452727738059</v>
      </c>
      <c r="BB237">
        <v>5.4538239943195066</v>
      </c>
      <c r="BC237">
        <v>5.8543526928459926</v>
      </c>
      <c r="BD237">
        <v>5.8232522389406256</v>
      </c>
      <c r="BE237">
        <v>6.3026954198744249</v>
      </c>
      <c r="BF237">
        <v>5.8242658339949287</v>
      </c>
      <c r="BG237">
        <v>5.6332402165132578</v>
      </c>
      <c r="BH237">
        <v>5.4680312930060211</v>
      </c>
      <c r="BI237">
        <v>4.2148956091850209</v>
      </c>
      <c r="BJ237">
        <v>4.0079125956693673</v>
      </c>
      <c r="BK237">
        <v>4.7951833308613914</v>
      </c>
      <c r="BL237">
        <v>4.9228332136069355</v>
      </c>
      <c r="BM237">
        <v>2.1622865742436375</v>
      </c>
      <c r="BN237">
        <v>5.9915691460394243</v>
      </c>
      <c r="BO237">
        <v>5.8105465675713646</v>
      </c>
    </row>
    <row r="238" spans="1:67">
      <c r="A238" t="s">
        <v>1244</v>
      </c>
      <c r="B238" t="s">
        <v>1245</v>
      </c>
      <c r="C238" t="s">
        <v>784</v>
      </c>
      <c r="D238" t="s">
        <v>785</v>
      </c>
      <c r="F238">
        <v>5.3621463016878721</v>
      </c>
      <c r="G238">
        <v>7.5542544478408615</v>
      </c>
      <c r="H238">
        <v>7.9998307869878431</v>
      </c>
      <c r="I238">
        <v>6.8309961437054199</v>
      </c>
      <c r="J238">
        <v>8.1816615376771722</v>
      </c>
      <c r="K238">
        <v>11.122518494638925</v>
      </c>
      <c r="L238">
        <v>8.6159823332819769</v>
      </c>
      <c r="M238">
        <v>8.1222702555428867</v>
      </c>
      <c r="N238">
        <v>6.5506598858774794</v>
      </c>
      <c r="O238">
        <v>11.407949066209767</v>
      </c>
      <c r="P238">
        <v>4.8953737602429896</v>
      </c>
      <c r="Q238">
        <v>4.2785080386105108</v>
      </c>
      <c r="R238">
        <v>10.236433014879822</v>
      </c>
      <c r="S238">
        <v>4.466253385754527</v>
      </c>
      <c r="T238">
        <v>4.9704052276649691</v>
      </c>
      <c r="U238">
        <v>9.3268110817843706</v>
      </c>
      <c r="V238">
        <v>9.843463235311134</v>
      </c>
      <c r="W238">
        <v>10.295746534938459</v>
      </c>
      <c r="X238">
        <v>5.371766512542365</v>
      </c>
      <c r="Y238">
        <v>5.1735410057193434</v>
      </c>
      <c r="Z238">
        <v>5.9068677630363879</v>
      </c>
      <c r="AA238">
        <v>5.3523487506674314</v>
      </c>
      <c r="AB238">
        <v>5.5842024691908421</v>
      </c>
      <c r="AC238">
        <v>5.7524302514899261</v>
      </c>
      <c r="AD238">
        <v>4.6472403565933149</v>
      </c>
      <c r="AE238">
        <v>5.5338277672477147</v>
      </c>
      <c r="AF238">
        <v>9.5189460221078974</v>
      </c>
      <c r="AG238">
        <v>13.288114071764383</v>
      </c>
      <c r="AH238">
        <v>12.19050598661093</v>
      </c>
      <c r="AI238">
        <v>11.167163444629253</v>
      </c>
      <c r="AJ238">
        <v>8.558260321242301</v>
      </c>
      <c r="AK238">
        <v>8.083388023453324</v>
      </c>
      <c r="AL238">
        <v>8.251915915246272</v>
      </c>
      <c r="AM238">
        <v>7.9970246672043288</v>
      </c>
      <c r="AN238">
        <v>8.1203153462537756</v>
      </c>
      <c r="AO238">
        <v>5.6519444649947133</v>
      </c>
      <c r="AP238">
        <v>-2.7535751531408152</v>
      </c>
      <c r="AQ238">
        <v>-7.6340352860010228</v>
      </c>
      <c r="AR238">
        <v>4.5723077511554209</v>
      </c>
      <c r="AS238">
        <v>4.4552470433501412</v>
      </c>
      <c r="AT238">
        <v>3.4442490096837162</v>
      </c>
      <c r="AU238">
        <v>6.1490360521003566</v>
      </c>
      <c r="AV238">
        <v>7.189243303409711</v>
      </c>
      <c r="AW238">
        <v>6.2893421428579472</v>
      </c>
      <c r="AX238">
        <v>4.1876384288433712</v>
      </c>
      <c r="AY238">
        <v>4.967810892461074</v>
      </c>
      <c r="AZ238">
        <v>5.4351516905080928</v>
      </c>
      <c r="BA238">
        <v>1.7256988486633418</v>
      </c>
      <c r="BB238">
        <v>-0.69061823230057939</v>
      </c>
      <c r="BC238">
        <v>7.513390532616242</v>
      </c>
      <c r="BD238">
        <v>0.84013208305333364</v>
      </c>
      <c r="BE238">
        <v>7.2427962024964216</v>
      </c>
      <c r="BF238">
        <v>2.6874955632055588</v>
      </c>
      <c r="BG238">
        <v>0.98446886361942632</v>
      </c>
      <c r="BH238">
        <v>3.1340472491163496</v>
      </c>
      <c r="BI238">
        <v>3.4351577169218217</v>
      </c>
      <c r="BJ238">
        <v>4.1776810321000966</v>
      </c>
      <c r="BK238">
        <v>4.222870287460708</v>
      </c>
      <c r="BL238">
        <v>2.1145577962827815</v>
      </c>
      <c r="BM238">
        <v>-6.0669259685517005</v>
      </c>
      <c r="BN238">
        <v>1.4920952354582084</v>
      </c>
      <c r="BO238">
        <v>2.597644125867177</v>
      </c>
    </row>
    <row r="239" spans="1:67">
      <c r="A239" t="s">
        <v>1246</v>
      </c>
      <c r="B239" t="s">
        <v>1247</v>
      </c>
      <c r="C239" t="s">
        <v>784</v>
      </c>
      <c r="D239" t="s">
        <v>785</v>
      </c>
      <c r="AE239">
        <v>3.4999998730957742</v>
      </c>
      <c r="AF239">
        <v>-1.20000004458646</v>
      </c>
      <c r="AG239">
        <v>13.900001094353968</v>
      </c>
      <c r="AH239">
        <v>-6.5000006636470289</v>
      </c>
      <c r="AI239">
        <v>-0.59999963133662959</v>
      </c>
      <c r="AJ239">
        <v>-7.0999990962252468</v>
      </c>
      <c r="AK239">
        <v>-29.000001055447086</v>
      </c>
      <c r="AL239">
        <v>-16.399999844882245</v>
      </c>
      <c r="AM239">
        <v>-21.299998013094864</v>
      </c>
      <c r="AN239">
        <v>-12.416322231898974</v>
      </c>
      <c r="AO239">
        <v>-16.69999843533887</v>
      </c>
      <c r="AP239">
        <v>1.6806741358806647</v>
      </c>
      <c r="AQ239">
        <v>5.3128676594004247</v>
      </c>
      <c r="AR239">
        <v>3.6995507166585071</v>
      </c>
      <c r="AS239">
        <v>8.3243244947385904</v>
      </c>
      <c r="AT239">
        <v>9.5808361784295073</v>
      </c>
      <c r="AU239">
        <v>10.800003759166543</v>
      </c>
      <c r="AV239">
        <v>10.999999078057201</v>
      </c>
      <c r="AW239">
        <v>10.299998941011651</v>
      </c>
      <c r="AX239">
        <v>6.6999985165540892</v>
      </c>
      <c r="AY239">
        <v>7.000003211089961</v>
      </c>
      <c r="AZ239">
        <v>7.8000001187216128</v>
      </c>
      <c r="BA239">
        <v>7.8999982715493928</v>
      </c>
      <c r="BB239">
        <v>3.9000011482649626</v>
      </c>
      <c r="BC239">
        <v>6.4999990858523518</v>
      </c>
      <c r="BD239">
        <v>7.4000005995670932</v>
      </c>
      <c r="BE239">
        <v>7.4999994632152465</v>
      </c>
      <c r="BF239">
        <v>7.3999997470037897</v>
      </c>
      <c r="BG239">
        <v>6.7000006901625255</v>
      </c>
      <c r="BH239">
        <v>6.0193033177118593</v>
      </c>
      <c r="BI239">
        <v>6.8999999999999915</v>
      </c>
      <c r="BJ239">
        <v>7.0999999999999943</v>
      </c>
      <c r="BK239">
        <v>7.5999999993937166</v>
      </c>
      <c r="BL239">
        <v>7.4000000000474415</v>
      </c>
      <c r="BM239">
        <v>4.4000000005853792</v>
      </c>
      <c r="BN239">
        <v>9.4000000002274646</v>
      </c>
      <c r="BO239">
        <v>8.0000000001450502</v>
      </c>
    </row>
    <row r="240" spans="1:67">
      <c r="A240" t="s">
        <v>1248</v>
      </c>
      <c r="B240" t="s">
        <v>1249</v>
      </c>
      <c r="C240" t="s">
        <v>784</v>
      </c>
      <c r="D240" t="s">
        <v>785</v>
      </c>
      <c r="AG240">
        <v>11.023622175137234</v>
      </c>
      <c r="AH240">
        <v>-4.255319506897024</v>
      </c>
      <c r="AI240">
        <v>35.384558108446299</v>
      </c>
      <c r="AJ240">
        <v>-4.6052632135837541</v>
      </c>
      <c r="AK240">
        <v>-14.96598659576803</v>
      </c>
      <c r="AL240">
        <v>1.5000001739180675</v>
      </c>
      <c r="AM240">
        <v>-17.299860472134057</v>
      </c>
      <c r="AN240">
        <v>-7.2000409344549041</v>
      </c>
      <c r="AO240">
        <v>6.6999921606475397</v>
      </c>
      <c r="AP240">
        <v>-11.400000227661252</v>
      </c>
      <c r="AQ240">
        <v>7.1000003438649344</v>
      </c>
      <c r="AR240">
        <v>16.499999497227066</v>
      </c>
      <c r="AS240">
        <v>5.4690641325285441</v>
      </c>
      <c r="AT240">
        <v>4.3438457143272728</v>
      </c>
      <c r="AU240">
        <v>0.25717992500628384</v>
      </c>
      <c r="AV240">
        <v>3.268828559553441</v>
      </c>
      <c r="AW240">
        <v>5.0004074376674765</v>
      </c>
      <c r="AX240">
        <v>13.034034870021998</v>
      </c>
      <c r="AY240">
        <v>10.973308325401703</v>
      </c>
      <c r="AZ240">
        <v>11.059299470450014</v>
      </c>
      <c r="BA240">
        <v>14.7</v>
      </c>
      <c r="BB240">
        <v>6.100000114856428</v>
      </c>
      <c r="BC240">
        <v>9.1999999880548273</v>
      </c>
      <c r="BD240">
        <v>14.699999927872341</v>
      </c>
      <c r="BE240">
        <v>11.099999961554488</v>
      </c>
      <c r="BF240">
        <v>10.200000101398984</v>
      </c>
      <c r="BG240">
        <v>10.299999970545912</v>
      </c>
      <c r="BH240">
        <v>6.4999999095166601</v>
      </c>
      <c r="BI240">
        <v>6.1999999664300987</v>
      </c>
      <c r="BJ240">
        <v>6.5000000468297543</v>
      </c>
      <c r="BK240">
        <v>6.199999941371189</v>
      </c>
      <c r="BL240">
        <v>6.300000042267115</v>
      </c>
      <c r="BM240">
        <v>-3.4000000444686265</v>
      </c>
      <c r="BN240">
        <v>4.5000000260410076</v>
      </c>
      <c r="BO240">
        <v>1.6999999668810233</v>
      </c>
    </row>
    <row r="241" spans="1:67">
      <c r="A241" t="s">
        <v>1250</v>
      </c>
      <c r="B241" t="s">
        <v>1251</v>
      </c>
      <c r="C241" t="s">
        <v>784</v>
      </c>
      <c r="D241" t="s">
        <v>785</v>
      </c>
      <c r="F241">
        <v>6.0920283065642309</v>
      </c>
      <c r="G241">
        <v>4.1877338416666134</v>
      </c>
      <c r="H241">
        <v>1.9137962321342599</v>
      </c>
      <c r="I241">
        <v>7.2661946893847897</v>
      </c>
      <c r="J241">
        <v>5.5565127585748115</v>
      </c>
      <c r="K241">
        <v>4.8660168577847145</v>
      </c>
      <c r="L241">
        <v>4.259479821594141</v>
      </c>
      <c r="M241">
        <v>7.1549427902313596</v>
      </c>
      <c r="N241">
        <v>6.7528042150153169</v>
      </c>
      <c r="O241">
        <v>6.5219991056978017</v>
      </c>
      <c r="P241">
        <v>6.8844390856804978</v>
      </c>
      <c r="Q241">
        <v>7.2686484286178512</v>
      </c>
      <c r="R241">
        <v>8.1516650011040639</v>
      </c>
      <c r="S241">
        <v>6.5460907089194222</v>
      </c>
      <c r="T241">
        <v>3.6584070462608764</v>
      </c>
      <c r="U241">
        <v>5.4210762814595341</v>
      </c>
      <c r="V241">
        <v>4.7563509829095381</v>
      </c>
      <c r="W241">
        <v>4.4038079461287793</v>
      </c>
      <c r="X241">
        <v>7.4529508316628608</v>
      </c>
      <c r="Y241">
        <v>6.9243962674206898</v>
      </c>
      <c r="Z241">
        <v>0.94609583346696979</v>
      </c>
      <c r="AA241">
        <v>-0.33042064460002507</v>
      </c>
      <c r="AB241">
        <v>-2.4724339362497574</v>
      </c>
      <c r="AC241">
        <v>3.7095092377553556</v>
      </c>
      <c r="AD241">
        <v>3.1696649961223642</v>
      </c>
      <c r="AE241">
        <v>3.5268993173882137</v>
      </c>
      <c r="AF241">
        <v>3.3665198135125536</v>
      </c>
      <c r="AG241">
        <v>0.38368613067147805</v>
      </c>
      <c r="AH241">
        <v>1.632860525633518</v>
      </c>
      <c r="AI241">
        <v>-0.23612157233436903</v>
      </c>
      <c r="AJ241">
        <v>3.3089169479697773</v>
      </c>
      <c r="AK241">
        <v>2.82224085756053</v>
      </c>
      <c r="AL241">
        <v>4.7242473685646758</v>
      </c>
      <c r="AM241">
        <v>5.3245979298833817</v>
      </c>
      <c r="AN241">
        <v>0.69050590670640588</v>
      </c>
      <c r="AO241">
        <v>3.9643085108465925</v>
      </c>
      <c r="AP241">
        <v>5.4521320753110274</v>
      </c>
      <c r="AQ241">
        <v>2.9394976124516177</v>
      </c>
      <c r="AR241">
        <v>0.44397442983432711</v>
      </c>
      <c r="AS241">
        <v>3.5799274632709341</v>
      </c>
      <c r="AT241">
        <v>0.22993650199845206</v>
      </c>
      <c r="AU241">
        <v>0.41924638131725089</v>
      </c>
      <c r="AV241">
        <v>2.531773061470318</v>
      </c>
      <c r="AW241">
        <v>5.3767855785037568</v>
      </c>
      <c r="AX241">
        <v>4.0271320759459002</v>
      </c>
      <c r="AY241">
        <v>5.2378028311618152</v>
      </c>
      <c r="AZ241">
        <v>5.3559285628807203</v>
      </c>
      <c r="BA241">
        <v>3.8132278111462625</v>
      </c>
      <c r="BB241">
        <v>-2.3323107334246629</v>
      </c>
      <c r="BC241">
        <v>6.677000823088818</v>
      </c>
      <c r="BD241">
        <v>4.5672110824669545</v>
      </c>
      <c r="BE241">
        <v>2.643130508310108</v>
      </c>
      <c r="BF241">
        <v>2.8176923447358746</v>
      </c>
      <c r="BG241">
        <v>1.3924391258585587</v>
      </c>
      <c r="BH241">
        <v>0.36379957417422304</v>
      </c>
      <c r="BI241">
        <v>-0.3500200600908272</v>
      </c>
      <c r="BJ241">
        <v>1.9223051353616682</v>
      </c>
      <c r="BK241">
        <v>1.6819271021777098</v>
      </c>
      <c r="BL241">
        <v>0.71197210310842252</v>
      </c>
      <c r="BM241">
        <v>-6.5259789664643506</v>
      </c>
      <c r="BN241">
        <v>7.2356147470528924</v>
      </c>
      <c r="BO241">
        <v>3.8960097183543922</v>
      </c>
    </row>
    <row r="242" spans="1:67">
      <c r="A242" t="s">
        <v>1252</v>
      </c>
      <c r="B242" t="s">
        <v>1253</v>
      </c>
      <c r="C242" t="s">
        <v>784</v>
      </c>
      <c r="D242" t="s">
        <v>785</v>
      </c>
      <c r="AT242">
        <v>16.351380920344553</v>
      </c>
      <c r="AU242">
        <v>-6.7036518241264247</v>
      </c>
      <c r="AV242">
        <v>-2.1822641323654466</v>
      </c>
      <c r="AW242">
        <v>0.40000398115196845</v>
      </c>
      <c r="AX242">
        <v>2.9845796380748624</v>
      </c>
      <c r="AY242">
        <v>-4.1160926894211372</v>
      </c>
      <c r="AZ242">
        <v>10.26538845422013</v>
      </c>
      <c r="BA242">
        <v>11.394804826646492</v>
      </c>
      <c r="BB242">
        <v>10.146954418347548</v>
      </c>
      <c r="BC242">
        <v>9.3315117662921239</v>
      </c>
      <c r="BD242">
        <v>5.9585397121065427</v>
      </c>
      <c r="BE242">
        <v>4.8606218682746771</v>
      </c>
      <c r="BF242">
        <v>3.1043668321114666</v>
      </c>
      <c r="BG242">
        <v>4.4724984656963755</v>
      </c>
      <c r="BH242">
        <v>2.7972661120109024</v>
      </c>
      <c r="BI242">
        <v>3.368174827915567</v>
      </c>
      <c r="BJ242">
        <v>-3.1445700238547971</v>
      </c>
      <c r="BK242">
        <v>-0.69280073554116939</v>
      </c>
      <c r="BL242">
        <v>23.412016761474334</v>
      </c>
      <c r="BM242">
        <v>31.96191886853606</v>
      </c>
      <c r="BN242">
        <v>5.3155374311559598</v>
      </c>
      <c r="BO242">
        <v>-20.541586773178494</v>
      </c>
    </row>
    <row r="243" spans="1:67">
      <c r="A243" t="s">
        <v>1254</v>
      </c>
      <c r="B243" t="s">
        <v>1255</v>
      </c>
      <c r="C243" t="s">
        <v>784</v>
      </c>
      <c r="D243" t="s">
        <v>785</v>
      </c>
      <c r="K243">
        <v>6.6244481236222583</v>
      </c>
      <c r="L243">
        <v>8.5950495887910989</v>
      </c>
      <c r="M243">
        <v>10.515841387749617</v>
      </c>
      <c r="N243">
        <v>11.674124590918794</v>
      </c>
      <c r="O243">
        <v>8.8139414512452134</v>
      </c>
      <c r="P243">
        <v>7.992863786581438</v>
      </c>
      <c r="Q243">
        <v>13.494370096385254</v>
      </c>
      <c r="R243">
        <v>5.6622347501797492</v>
      </c>
      <c r="S243">
        <v>6.3356751611775195</v>
      </c>
      <c r="T243">
        <v>2.8493853969787608</v>
      </c>
      <c r="U243">
        <v>15.590573956546308</v>
      </c>
      <c r="V243">
        <v>0.47980152431586021</v>
      </c>
      <c r="W243">
        <v>-3.8582574498949924</v>
      </c>
      <c r="X243">
        <v>-2.6101373976254365</v>
      </c>
      <c r="Y243">
        <v>-5.8986628380425685</v>
      </c>
      <c r="Z243">
        <v>6.7688239029052966E-2</v>
      </c>
      <c r="AA243">
        <v>12.951622812861245</v>
      </c>
      <c r="AB243">
        <v>5.3302117091476759</v>
      </c>
      <c r="AC243">
        <v>-0.14202884165860041</v>
      </c>
      <c r="AD243">
        <v>3.3629490982589232</v>
      </c>
      <c r="AE243">
        <v>-2.0237981173132482</v>
      </c>
      <c r="AF243">
        <v>1.6969388038315003</v>
      </c>
      <c r="AG243">
        <v>0.19064087399667073</v>
      </c>
      <c r="AH243">
        <v>1.9509996310449509</v>
      </c>
      <c r="AI243">
        <v>11.885338312260643</v>
      </c>
      <c r="AJ243">
        <v>-0.77274542038379934</v>
      </c>
      <c r="AK243">
        <v>5.2426671198706458</v>
      </c>
      <c r="AL243">
        <v>2.0651136838106794</v>
      </c>
      <c r="AM243">
        <v>2.1020337847558608</v>
      </c>
      <c r="AN243">
        <v>2.9398566759936386</v>
      </c>
      <c r="AO243">
        <v>6.6023433491326387</v>
      </c>
      <c r="AP243">
        <v>3.799714249178507</v>
      </c>
      <c r="AQ243">
        <v>6.676839637031236</v>
      </c>
      <c r="AR243">
        <v>4.5615850933750721</v>
      </c>
      <c r="AS243">
        <v>6.203735106488466</v>
      </c>
      <c r="AT243">
        <v>2.8674493584319549</v>
      </c>
      <c r="AU243">
        <v>3.2415376931668618</v>
      </c>
      <c r="AV243">
        <v>2.2267332109962297</v>
      </c>
      <c r="AW243">
        <v>7.6592556652120578</v>
      </c>
      <c r="AX243">
        <v>4.4630496570554214</v>
      </c>
      <c r="AY243">
        <v>5.223876989486115</v>
      </c>
      <c r="AZ243">
        <v>6.1102941644254969</v>
      </c>
      <c r="BA243">
        <v>3.6954387556715602</v>
      </c>
      <c r="BB243">
        <v>2.5673909232845773</v>
      </c>
      <c r="BC243">
        <v>5.2358690077746388</v>
      </c>
      <c r="BD243">
        <v>-1.0974090198451023</v>
      </c>
      <c r="BE243">
        <v>3.6608301279154318</v>
      </c>
      <c r="BF243">
        <v>0.40721738118678275</v>
      </c>
      <c r="BG243">
        <v>1.7783274608394066</v>
      </c>
      <c r="BH243">
        <v>0.71241688419844706</v>
      </c>
      <c r="BI243">
        <v>5.3084606844756621</v>
      </c>
      <c r="BJ243">
        <v>3.1417970048634061</v>
      </c>
      <c r="BK243">
        <v>1.8077957175320023</v>
      </c>
      <c r="BL243">
        <v>0.89818582973100547</v>
      </c>
      <c r="BM243">
        <v>-3.1280884486100859</v>
      </c>
      <c r="BN243">
        <v>4.3390130245516474</v>
      </c>
      <c r="BO243">
        <v>4.2387141393440686</v>
      </c>
    </row>
    <row r="244" spans="1:67">
      <c r="A244" t="s">
        <v>1256</v>
      </c>
      <c r="B244" t="s">
        <v>1257</v>
      </c>
      <c r="C244" t="s">
        <v>784</v>
      </c>
      <c r="D244" t="s">
        <v>785</v>
      </c>
      <c r="AA244">
        <v>4.7412654099247931</v>
      </c>
      <c r="AB244">
        <v>1.9824027135356204</v>
      </c>
      <c r="AC244">
        <v>1.7383919600440834</v>
      </c>
      <c r="AD244">
        <v>6.5584634601298717</v>
      </c>
      <c r="AE244">
        <v>2.1186608644567571</v>
      </c>
      <c r="AF244">
        <v>2.9856377872262527</v>
      </c>
      <c r="AG244">
        <v>-1.8818720489880292</v>
      </c>
      <c r="AH244">
        <v>0.38990681035964769</v>
      </c>
      <c r="AI244">
        <v>-2.0440914352122377</v>
      </c>
      <c r="AJ244">
        <v>6.4149475744726061</v>
      </c>
      <c r="AK244">
        <v>0.25197566413316963</v>
      </c>
      <c r="AL244">
        <v>3.7380553828981959</v>
      </c>
      <c r="AM244">
        <v>4.952521321065035</v>
      </c>
      <c r="AN244">
        <v>7.3785358261085463</v>
      </c>
      <c r="AO244">
        <v>1.8055312169568793</v>
      </c>
      <c r="AP244">
        <v>1.2234496173778524</v>
      </c>
      <c r="AQ244">
        <v>2.4587591030060878</v>
      </c>
      <c r="AR244">
        <v>3.7108809670907306</v>
      </c>
      <c r="AS244">
        <v>0.87599006300844451</v>
      </c>
      <c r="AT244">
        <v>3.7489256929814161</v>
      </c>
      <c r="AU244">
        <v>4.8480128143897332</v>
      </c>
      <c r="AV244">
        <v>2.3080454937043129</v>
      </c>
      <c r="AW244">
        <v>-2.4107006092002337</v>
      </c>
      <c r="AX244">
        <v>8.1033893733064133E-2</v>
      </c>
      <c r="AY244">
        <v>-0.14863532289669479</v>
      </c>
      <c r="AZ244">
        <v>0.2710952910968274</v>
      </c>
      <c r="BA244">
        <v>4.7501696558175865</v>
      </c>
      <c r="BB244">
        <v>-5.1991090371118815</v>
      </c>
      <c r="BC244">
        <v>0.80349018252383075</v>
      </c>
      <c r="BD244">
        <v>6.8182761444729465</v>
      </c>
      <c r="BE244">
        <v>0.82310271796481516</v>
      </c>
      <c r="BF244">
        <v>0.31230790929470231</v>
      </c>
      <c r="BG244">
        <v>2.0187004603920542</v>
      </c>
      <c r="BH244">
        <v>1.1718882558960075</v>
      </c>
      <c r="BI244">
        <v>6.5710005010744794</v>
      </c>
      <c r="BJ244">
        <v>3.322432544388306</v>
      </c>
      <c r="BK244">
        <v>0.24122796027505444</v>
      </c>
      <c r="BL244">
        <v>0.7064834338604129</v>
      </c>
      <c r="BM244">
        <v>0.48864532331383259</v>
      </c>
      <c r="BN244">
        <v>-2.6675061752312672</v>
      </c>
    </row>
    <row r="245" spans="1:67">
      <c r="A245" t="s">
        <v>1258</v>
      </c>
      <c r="B245" t="s">
        <v>1259</v>
      </c>
      <c r="C245" t="s">
        <v>784</v>
      </c>
      <c r="D245" t="s">
        <v>785</v>
      </c>
      <c r="F245">
        <v>4.2137479743672941</v>
      </c>
      <c r="G245">
        <v>3.4079004044896237</v>
      </c>
      <c r="H245">
        <v>5.2915761730143487</v>
      </c>
      <c r="I245">
        <v>7.7589754373534277</v>
      </c>
      <c r="J245">
        <v>-0.54142815587057669</v>
      </c>
      <c r="K245">
        <v>1.2427204585001306</v>
      </c>
      <c r="L245">
        <v>6.1092116012545716</v>
      </c>
      <c r="M245">
        <v>4.6020103189622574</v>
      </c>
      <c r="N245">
        <v>5.7774142598627094</v>
      </c>
      <c r="O245">
        <v>5.9071930904676577</v>
      </c>
      <c r="P245">
        <v>0.61578866242160757</v>
      </c>
      <c r="Q245">
        <v>-1.7618511137033437</v>
      </c>
      <c r="R245">
        <v>3.8845632866175919</v>
      </c>
      <c r="S245">
        <v>2.4759534704018193</v>
      </c>
      <c r="T245">
        <v>6.8939287522359791</v>
      </c>
      <c r="U245">
        <v>2.6054588403869445</v>
      </c>
      <c r="V245">
        <v>6.2211696861419057</v>
      </c>
      <c r="W245">
        <v>6.1373676932850572</v>
      </c>
      <c r="X245">
        <v>-2.5375466375815279</v>
      </c>
      <c r="Y245">
        <v>6.5142506418905128</v>
      </c>
      <c r="Z245">
        <v>6.4396005636037756</v>
      </c>
      <c r="AA245">
        <v>3.8627550631398151</v>
      </c>
      <c r="AB245">
        <v>6.6608078275356917</v>
      </c>
      <c r="AC245">
        <v>4.2309441687009581</v>
      </c>
      <c r="AD245">
        <v>5.4653408549000488</v>
      </c>
      <c r="AE245">
        <v>4.8283973628761316</v>
      </c>
      <c r="AF245">
        <v>4.2616915676424725</v>
      </c>
      <c r="AG245">
        <v>8.3679216057898742</v>
      </c>
      <c r="AH245">
        <v>5.3774263001104714</v>
      </c>
      <c r="AI245">
        <v>5.3802195787578313</v>
      </c>
      <c r="AJ245">
        <v>2.1090141118375243</v>
      </c>
      <c r="AK245">
        <v>5.8054361381083481</v>
      </c>
      <c r="AL245">
        <v>4.2844803397792361</v>
      </c>
      <c r="AM245">
        <v>5.9154575377282015</v>
      </c>
      <c r="AN245">
        <v>6.8138948652700435</v>
      </c>
      <c r="AO245">
        <v>6.7083066068805266</v>
      </c>
      <c r="AP245">
        <v>3.6944210875061287</v>
      </c>
      <c r="AQ245">
        <v>5.4451330394793729</v>
      </c>
      <c r="AR245">
        <v>7.5127028519178225</v>
      </c>
      <c r="AS245">
        <v>4.1124809832512597</v>
      </c>
      <c r="AT245">
        <v>4.4372599442454401</v>
      </c>
      <c r="AU245">
        <v>3.5991999021528756</v>
      </c>
      <c r="AV245">
        <v>7.1761115401359064</v>
      </c>
      <c r="AW245">
        <v>7.5495360834671601</v>
      </c>
      <c r="AX245">
        <v>7.613039485275209</v>
      </c>
      <c r="AY245">
        <v>7.6195742082878439</v>
      </c>
      <c r="AZ245">
        <v>7.1400860248863154</v>
      </c>
      <c r="BA245">
        <v>3.2981666218282868</v>
      </c>
      <c r="BB245">
        <v>6.9492465401740873</v>
      </c>
      <c r="BC245">
        <v>7.365786643016321</v>
      </c>
      <c r="BD245">
        <v>5.0707494471140109</v>
      </c>
      <c r="BE245">
        <v>5.381298089630377</v>
      </c>
      <c r="BF245">
        <v>6.0092331799645109</v>
      </c>
      <c r="BG245">
        <v>6.8479660852307234</v>
      </c>
      <c r="BH245">
        <v>7.2516719351909558</v>
      </c>
      <c r="BI245">
        <v>7.7760169464661431</v>
      </c>
      <c r="BJ245">
        <v>6.503652999985718</v>
      </c>
      <c r="BK245">
        <v>6.3348048698844082</v>
      </c>
      <c r="BL245">
        <v>3.9241377712653502</v>
      </c>
      <c r="BM245">
        <v>-4.6239948311072681</v>
      </c>
      <c r="BN245">
        <v>8.2545904750409562</v>
      </c>
      <c r="BO245">
        <v>6.4867118634202967</v>
      </c>
    </row>
    <row r="246" spans="1:67">
      <c r="A246" t="s">
        <v>1260</v>
      </c>
      <c r="B246" t="s">
        <v>1261</v>
      </c>
      <c r="C246" t="s">
        <v>784</v>
      </c>
      <c r="D246" t="s">
        <v>785</v>
      </c>
      <c r="F246">
        <v>0.97738011370162781</v>
      </c>
      <c r="G246">
        <v>6.0485760505293911</v>
      </c>
      <c r="H246">
        <v>6.1008466429987749</v>
      </c>
      <c r="I246">
        <v>4.9564623687174105</v>
      </c>
      <c r="J246">
        <v>4.7730285481485879</v>
      </c>
      <c r="K246">
        <v>1.3574264233860163</v>
      </c>
      <c r="L246">
        <v>-1.2254103577906363</v>
      </c>
      <c r="M246">
        <v>2.9764907734403749</v>
      </c>
      <c r="N246">
        <v>9.3755819522459944</v>
      </c>
      <c r="O246">
        <v>10.262068948067053</v>
      </c>
      <c r="P246">
        <v>7.8375536599357929</v>
      </c>
      <c r="Q246">
        <v>2.6263544623797799</v>
      </c>
      <c r="R246">
        <v>4.3384974095814783</v>
      </c>
      <c r="S246">
        <v>7.9171710343015178</v>
      </c>
      <c r="T246">
        <v>-0.11834258839640199</v>
      </c>
      <c r="U246">
        <v>5.5094656331611702</v>
      </c>
      <c r="V246">
        <v>2.9169627036923913</v>
      </c>
      <c r="W246">
        <v>-0.51133454252834554</v>
      </c>
      <c r="X246">
        <v>3.9547696222664399</v>
      </c>
      <c r="Y246">
        <v>3.78023121800301</v>
      </c>
      <c r="Z246">
        <v>-0.77023542374455189</v>
      </c>
      <c r="AA246">
        <v>-1.0881559230361262</v>
      </c>
      <c r="AB246">
        <v>-2.5110186364660478</v>
      </c>
      <c r="AC246">
        <v>2.0847349526020906</v>
      </c>
      <c r="AD246">
        <v>1.832967239539812</v>
      </c>
      <c r="AE246">
        <v>1.9438990825841245</v>
      </c>
      <c r="AF246">
        <v>3.1479531740743454</v>
      </c>
      <c r="AG246">
        <v>4.3463153982193319</v>
      </c>
      <c r="AH246">
        <v>2.6611198263138931</v>
      </c>
      <c r="AI246">
        <v>2.4710585962478717</v>
      </c>
      <c r="AJ246">
        <v>0.52130678829330179</v>
      </c>
      <c r="AK246">
        <v>-0.14423879684447627</v>
      </c>
      <c r="AL246">
        <v>-0.73953602231085824</v>
      </c>
      <c r="AM246">
        <v>1.0711552124091952</v>
      </c>
      <c r="AN246">
        <v>3.3872517295767466</v>
      </c>
      <c r="AO246">
        <v>5.1387177496607421</v>
      </c>
      <c r="AP246">
        <v>4.3708952581319238</v>
      </c>
      <c r="AQ246">
        <v>2.489803060542755</v>
      </c>
      <c r="AR246">
        <v>2.1665032549054644</v>
      </c>
      <c r="AS246">
        <v>3.4986691839353483</v>
      </c>
      <c r="AT246">
        <v>4.2547944308399082</v>
      </c>
      <c r="AU246">
        <v>6.3130584585547496</v>
      </c>
      <c r="AV246">
        <v>4.1060212631506943</v>
      </c>
      <c r="AW246">
        <v>6.5565527920489046</v>
      </c>
      <c r="AX246">
        <v>6.0019140778306905</v>
      </c>
      <c r="AY246">
        <v>6.0687031306639625</v>
      </c>
      <c r="AZ246">
        <v>6.1480687320756715</v>
      </c>
      <c r="BA246">
        <v>5.1423074270862799</v>
      </c>
      <c r="BB246">
        <v>2.9930650841929491</v>
      </c>
      <c r="BC246">
        <v>5.9328787587234331</v>
      </c>
      <c r="BD246">
        <v>4.1976101997155126</v>
      </c>
      <c r="BE246">
        <v>2.7322413739836406</v>
      </c>
      <c r="BF246">
        <v>5.0580564794269804</v>
      </c>
      <c r="BG246">
        <v>4.866911044302725</v>
      </c>
      <c r="BH246">
        <v>2.8965151489253032</v>
      </c>
      <c r="BI246">
        <v>1.2801721121459053</v>
      </c>
      <c r="BJ246">
        <v>2.4442587354407692</v>
      </c>
      <c r="BK246">
        <v>2.6464207660951189</v>
      </c>
      <c r="BL246">
        <v>2.559391410317005</v>
      </c>
      <c r="BM246">
        <v>-1.9618302242754453</v>
      </c>
      <c r="BN246">
        <v>4.1530951851311784</v>
      </c>
      <c r="BO246">
        <v>3.5854522025110356</v>
      </c>
    </row>
    <row r="247" spans="1:67">
      <c r="A247" t="s">
        <v>1262</v>
      </c>
      <c r="B247" t="s">
        <v>1263</v>
      </c>
      <c r="C247" t="s">
        <v>784</v>
      </c>
      <c r="D247" t="s">
        <v>785</v>
      </c>
      <c r="F247">
        <v>14.037070864503036</v>
      </c>
      <c r="G247">
        <v>2.7424631464336215</v>
      </c>
      <c r="H247">
        <v>5.6045972464346505</v>
      </c>
      <c r="I247">
        <v>7.6304997721024819</v>
      </c>
      <c r="J247">
        <v>0.69385028119455683</v>
      </c>
      <c r="K247">
        <v>4.0568215606766813</v>
      </c>
      <c r="L247">
        <v>2.0425177148052143</v>
      </c>
      <c r="M247">
        <v>5.2151416149003467</v>
      </c>
      <c r="N247">
        <v>2.7306846100350697</v>
      </c>
      <c r="O247">
        <v>3.5336356779722422</v>
      </c>
      <c r="P247">
        <v>1.040335827819618</v>
      </c>
      <c r="Q247">
        <v>5.7803468191393534</v>
      </c>
      <c r="R247">
        <v>1.6564207664204531</v>
      </c>
      <c r="S247">
        <v>3.8076040085693705</v>
      </c>
      <c r="T247">
        <v>1.477965371235527</v>
      </c>
      <c r="U247">
        <v>6.4051453786650541</v>
      </c>
      <c r="V247">
        <v>9.1217903876579669</v>
      </c>
      <c r="W247">
        <v>10.01648049790127</v>
      </c>
      <c r="X247">
        <v>3.599367509756064</v>
      </c>
      <c r="Y247">
        <v>10.390810137282998</v>
      </c>
      <c r="Z247">
        <v>4.5772085584299589</v>
      </c>
      <c r="AA247">
        <v>3.7993180714448442</v>
      </c>
      <c r="AB247">
        <v>-10.300328484294198</v>
      </c>
      <c r="AC247">
        <v>-5.7509061700585136</v>
      </c>
      <c r="AD247">
        <v>-4.1194195543723993</v>
      </c>
      <c r="AE247">
        <v>-3.2791630479926681</v>
      </c>
      <c r="AF247">
        <v>-4.5617785381139413</v>
      </c>
      <c r="AG247">
        <v>-3.9197240505039446</v>
      </c>
      <c r="AH247">
        <v>-0.82991421223169937</v>
      </c>
      <c r="AI247">
        <v>1.5091678429517685</v>
      </c>
      <c r="AJ247">
        <v>3.112407865755884</v>
      </c>
      <c r="AK247">
        <v>10.092979512968995</v>
      </c>
      <c r="AL247">
        <v>-0.66911476645933021</v>
      </c>
      <c r="AM247">
        <v>3.5671806058195159</v>
      </c>
      <c r="AN247">
        <v>3.8099131436476483</v>
      </c>
      <c r="AO247">
        <v>7.134477464808711</v>
      </c>
      <c r="AP247">
        <v>7.5228546262751763</v>
      </c>
      <c r="AQ247">
        <v>8.1245639965458025</v>
      </c>
      <c r="AR247">
        <v>8.0248176435006258</v>
      </c>
      <c r="AS247">
        <v>6.9013595907280347</v>
      </c>
      <c r="AT247">
        <v>4.1685239818542357</v>
      </c>
      <c r="AU247">
        <v>7.9367096871533249</v>
      </c>
      <c r="AV247">
        <v>14.44098953897344</v>
      </c>
      <c r="AW247">
        <v>7.9500515106997227</v>
      </c>
      <c r="AX247">
        <v>6.2089378795417502</v>
      </c>
      <c r="AY247">
        <v>13.208058605173491</v>
      </c>
      <c r="AZ247">
        <v>4.7542097009272197</v>
      </c>
      <c r="BA247">
        <v>3.3917370780738736</v>
      </c>
      <c r="BB247">
        <v>-4.3917292474613987</v>
      </c>
      <c r="BC247">
        <v>3.3232247102737063</v>
      </c>
      <c r="BD247">
        <v>-0.29435440904376264</v>
      </c>
      <c r="BE247">
        <v>7.4466658101514156</v>
      </c>
      <c r="BF247">
        <v>3.5319256536950832</v>
      </c>
      <c r="BG247">
        <v>3.8536407892379287</v>
      </c>
      <c r="BH247">
        <v>-0.77747872940543061</v>
      </c>
      <c r="BI247">
        <v>-7.5271225798744155</v>
      </c>
      <c r="BJ247">
        <v>-4.8008157464910965</v>
      </c>
      <c r="BK247">
        <v>-0.60243591545541619</v>
      </c>
      <c r="BL247">
        <v>0.36125088987060394</v>
      </c>
      <c r="BM247">
        <v>-9.077896168806916</v>
      </c>
      <c r="BN247">
        <v>-1.0374468068052494</v>
      </c>
      <c r="BO247">
        <v>1.4822439179133369</v>
      </c>
    </row>
    <row r="248" spans="1:67">
      <c r="A248" t="s">
        <v>1264</v>
      </c>
      <c r="B248" t="s">
        <v>1265</v>
      </c>
      <c r="C248" t="s">
        <v>784</v>
      </c>
      <c r="D248" t="s">
        <v>785</v>
      </c>
      <c r="K248">
        <v>3.4548678937449608</v>
      </c>
      <c r="L248">
        <v>0.16195247133987323</v>
      </c>
      <c r="M248">
        <v>10.40972858617306</v>
      </c>
      <c r="N248">
        <v>4.7478154036322451</v>
      </c>
      <c r="O248">
        <v>4.669631772670499</v>
      </c>
      <c r="P248">
        <v>10.560197480686284</v>
      </c>
      <c r="Q248">
        <v>17.74271826103319</v>
      </c>
      <c r="R248">
        <v>-0.65464350226631041</v>
      </c>
      <c r="S248">
        <v>8.0747823343126015</v>
      </c>
      <c r="T248">
        <v>7.1560999091236255</v>
      </c>
      <c r="U248">
        <v>7.8768526527242813</v>
      </c>
      <c r="V248">
        <v>3.4110958495494685</v>
      </c>
      <c r="W248">
        <v>6.4404735329312501</v>
      </c>
      <c r="X248">
        <v>6.5675211764401666</v>
      </c>
      <c r="Y248">
        <v>7.4187395949798542</v>
      </c>
      <c r="Z248">
        <v>5.5140728290394208</v>
      </c>
      <c r="AA248">
        <v>-0.49373760402227163</v>
      </c>
      <c r="AB248">
        <v>4.6819173852731097</v>
      </c>
      <c r="AC248">
        <v>5.7488432625296895</v>
      </c>
      <c r="AD248">
        <v>5.648573236598196</v>
      </c>
      <c r="AE248">
        <v>-1.446988414179728</v>
      </c>
      <c r="AF248">
        <v>6.7013710957768922</v>
      </c>
      <c r="AG248">
        <v>7.2159077396420912E-2</v>
      </c>
      <c r="AH248">
        <v>1.7466991282435202</v>
      </c>
      <c r="AI248">
        <v>7.9498194366546073</v>
      </c>
      <c r="AJ248">
        <v>3.9045453031319823</v>
      </c>
      <c r="AK248">
        <v>7.8057288772239701</v>
      </c>
      <c r="AL248">
        <v>2.1898288614582384</v>
      </c>
      <c r="AM248">
        <v>3.178411322094405</v>
      </c>
      <c r="AN248">
        <v>2.3516698508654059</v>
      </c>
      <c r="AO248">
        <v>7.146080967820609</v>
      </c>
      <c r="AP248">
        <v>5.4409435010746705</v>
      </c>
      <c r="AQ248">
        <v>4.7837624782566479</v>
      </c>
      <c r="AR248">
        <v>6.0546344789815834</v>
      </c>
      <c r="AS248">
        <v>4.7099729138049042</v>
      </c>
      <c r="AT248">
        <v>3.79627166202512</v>
      </c>
      <c r="AU248">
        <v>1.3225571482894622</v>
      </c>
      <c r="AV248">
        <v>4.7023995328524109</v>
      </c>
      <c r="AW248">
        <v>6.2357907222264686</v>
      </c>
      <c r="AX248">
        <v>3.4865455430439027</v>
      </c>
      <c r="AY248">
        <v>5.2440998324691606</v>
      </c>
      <c r="AZ248">
        <v>6.7095209745355362</v>
      </c>
      <c r="BA248">
        <v>4.2377814750281857</v>
      </c>
      <c r="BB248">
        <v>3.043450123715516</v>
      </c>
      <c r="BC248">
        <v>2.9711327506651202</v>
      </c>
      <c r="BD248">
        <v>-2.046633895356436</v>
      </c>
      <c r="BE248">
        <v>4.216677115356319</v>
      </c>
      <c r="BF248">
        <v>2.4299309644642904</v>
      </c>
      <c r="BG248">
        <v>3.0903280307077523</v>
      </c>
      <c r="BH248">
        <v>0.9677031531934972</v>
      </c>
      <c r="BI248">
        <v>1.1174258593283071</v>
      </c>
      <c r="BJ248">
        <v>2.2378386916577284</v>
      </c>
      <c r="BK248">
        <v>2.6249300933949513</v>
      </c>
      <c r="BL248">
        <v>1.5878467320356009</v>
      </c>
      <c r="BM248">
        <v>-8.8179256261329613</v>
      </c>
      <c r="BN248">
        <v>4.405475386499603</v>
      </c>
      <c r="BO248">
        <v>2.4378660647487607</v>
      </c>
    </row>
    <row r="249" spans="1:67">
      <c r="A249" t="s">
        <v>1266</v>
      </c>
      <c r="B249" t="s">
        <v>1267</v>
      </c>
      <c r="C249" t="s">
        <v>784</v>
      </c>
      <c r="D249" t="s">
        <v>785</v>
      </c>
      <c r="F249">
        <v>1.1560693853969894</v>
      </c>
      <c r="G249">
        <v>5.5714285818048381</v>
      </c>
      <c r="H249">
        <v>9.0663055524087497</v>
      </c>
      <c r="I249">
        <v>5.4590567983809706</v>
      </c>
      <c r="J249">
        <v>2.8235295434383687</v>
      </c>
      <c r="K249">
        <v>11.212815035351383</v>
      </c>
      <c r="L249">
        <v>4.732510243937412</v>
      </c>
      <c r="M249">
        <v>6.777996010381159</v>
      </c>
      <c r="N249">
        <v>4.0811456208947021</v>
      </c>
      <c r="O249">
        <v>3.2335089729325972</v>
      </c>
      <c r="P249">
        <v>5.5666945005878858</v>
      </c>
      <c r="Q249">
        <v>7.4257883256424293</v>
      </c>
      <c r="R249">
        <v>3.2623345184051118</v>
      </c>
      <c r="S249">
        <v>5.5944744026933648</v>
      </c>
      <c r="T249">
        <v>7.1741126897710643</v>
      </c>
      <c r="U249">
        <v>10.461179556323842</v>
      </c>
      <c r="V249">
        <v>3.4066698044915569</v>
      </c>
      <c r="W249">
        <v>1.5029330112232913</v>
      </c>
      <c r="X249">
        <v>-0.62411357022288882</v>
      </c>
      <c r="Y249">
        <v>-2.4473504258015595</v>
      </c>
      <c r="Z249">
        <v>4.8566487665203937</v>
      </c>
      <c r="AA249">
        <v>3.563227812183456</v>
      </c>
      <c r="AB249">
        <v>4.97108077727097</v>
      </c>
      <c r="AC249">
        <v>6.7120157120600794</v>
      </c>
      <c r="AD249">
        <v>4.2413357163994476</v>
      </c>
      <c r="AE249">
        <v>7.0120311105439868</v>
      </c>
      <c r="AF249">
        <v>9.4855388424673066</v>
      </c>
      <c r="AG249">
        <v>2.3207367939483987</v>
      </c>
      <c r="AH249">
        <v>0.29024406877960018</v>
      </c>
      <c r="AI249">
        <v>9.2661466714932317</v>
      </c>
      <c r="AJ249">
        <v>0.72027903561004791</v>
      </c>
      <c r="AK249">
        <v>5.0356349389680304</v>
      </c>
      <c r="AL249">
        <v>7.6512652030150861</v>
      </c>
      <c r="AM249">
        <v>-4.6681473639483784</v>
      </c>
      <c r="AN249">
        <v>7.8782668761899117</v>
      </c>
      <c r="AO249">
        <v>7.3796644737568613</v>
      </c>
      <c r="AP249">
        <v>7.5776636440760825</v>
      </c>
      <c r="AQ249">
        <v>2.4041502568693716</v>
      </c>
      <c r="AR249">
        <v>-3.2631684059710437</v>
      </c>
      <c r="AS249">
        <v>6.9332397045590426</v>
      </c>
      <c r="AT249">
        <v>-5.7500065546425674</v>
      </c>
      <c r="AU249">
        <v>6.4477220468159402</v>
      </c>
      <c r="AV249">
        <v>5.7632060665471414</v>
      </c>
      <c r="AW249">
        <v>9.7959363892028222</v>
      </c>
      <c r="AX249">
        <v>8.992304936265171</v>
      </c>
      <c r="AY249">
        <v>6.9479880857199277</v>
      </c>
      <c r="AZ249">
        <v>5.0435079315710425</v>
      </c>
      <c r="BA249">
        <v>0.81502457300770459</v>
      </c>
      <c r="BB249">
        <v>-4.8231539530176946</v>
      </c>
      <c r="BC249">
        <v>8.427104322761906</v>
      </c>
      <c r="BD249">
        <v>11.200110583350352</v>
      </c>
      <c r="BE249">
        <v>4.7884927110800817</v>
      </c>
      <c r="BF249">
        <v>8.4858169965302608</v>
      </c>
      <c r="BG249">
        <v>4.9397151613657968</v>
      </c>
      <c r="BH249">
        <v>6.0844869044366305</v>
      </c>
      <c r="BI249">
        <v>3.323084208457459</v>
      </c>
      <c r="BJ249">
        <v>7.5019974891749115</v>
      </c>
      <c r="BK249">
        <v>3.0131799084650766</v>
      </c>
      <c r="BL249">
        <v>0.81852593620826042</v>
      </c>
      <c r="BM249">
        <v>1.8598396900154199</v>
      </c>
      <c r="BN249">
        <v>11.439384744642098</v>
      </c>
      <c r="BO249">
        <v>5.5334692659637881</v>
      </c>
    </row>
    <row r="250" spans="1:67">
      <c r="A250" t="s">
        <v>1268</v>
      </c>
      <c r="B250" t="s">
        <v>1269</v>
      </c>
      <c r="C250" t="s">
        <v>784</v>
      </c>
      <c r="D250" t="s">
        <v>785</v>
      </c>
      <c r="AJ250">
        <v>3.6091833262166091</v>
      </c>
      <c r="AK250">
        <v>2.7887888821527014</v>
      </c>
      <c r="AL250">
        <v>4.1108237678266164</v>
      </c>
      <c r="AM250">
        <v>10.283376815046807</v>
      </c>
      <c r="AN250">
        <v>-5.0044520313380758</v>
      </c>
      <c r="AO250">
        <v>-5.961370474619045</v>
      </c>
      <c r="AP250">
        <v>10.003302782594332</v>
      </c>
      <c r="AQ250">
        <v>15.501166126048844</v>
      </c>
      <c r="AR250">
        <v>-1.5638708239914223</v>
      </c>
      <c r="AS250">
        <v>-0.97048920578332343</v>
      </c>
      <c r="AT250">
        <v>0</v>
      </c>
      <c r="AU250">
        <v>9.5238095238095326</v>
      </c>
      <c r="AV250">
        <v>-4.3478260869565162</v>
      </c>
      <c r="AW250">
        <v>-2.2727272727272663</v>
      </c>
      <c r="AX250">
        <v>-4.6511627906976685</v>
      </c>
      <c r="AY250">
        <v>2.4390243902439011</v>
      </c>
      <c r="AZ250">
        <v>7.1428571428571388</v>
      </c>
      <c r="BA250">
        <v>6.6666666666666714</v>
      </c>
      <c r="BB250">
        <v>-6.25</v>
      </c>
      <c r="BC250">
        <v>-2.2222222222222285</v>
      </c>
      <c r="BD250">
        <v>6.818181818181813</v>
      </c>
      <c r="BE250">
        <v>-2.1276595744680833</v>
      </c>
      <c r="BF250">
        <v>4.3478260869565162</v>
      </c>
      <c r="BG250">
        <v>0</v>
      </c>
      <c r="BH250">
        <v>10.416666666666671</v>
      </c>
      <c r="BI250">
        <v>5.6603773584905639</v>
      </c>
      <c r="BJ250">
        <v>2.4483928571428635</v>
      </c>
      <c r="BK250">
        <v>1.3872838415160231</v>
      </c>
      <c r="BL250">
        <v>13.822098440696621</v>
      </c>
      <c r="BM250">
        <v>-4.2749320690139712</v>
      </c>
      <c r="BN250">
        <v>1.8041359113615982</v>
      </c>
      <c r="BO250">
        <v>0.67731744560694551</v>
      </c>
    </row>
    <row r="251" spans="1:67">
      <c r="A251" t="s">
        <v>1270</v>
      </c>
      <c r="B251" t="s">
        <v>1271</v>
      </c>
      <c r="C251" t="s">
        <v>784</v>
      </c>
      <c r="D251" t="s">
        <v>785</v>
      </c>
      <c r="AH251">
        <v>3.7644434090617267</v>
      </c>
      <c r="AI251">
        <v>7.0450716420538413</v>
      </c>
      <c r="AJ251">
        <v>2.0719882137496342</v>
      </c>
      <c r="AK251">
        <v>0.58432213192405413</v>
      </c>
      <c r="AL251">
        <v>1.2058008087546028</v>
      </c>
      <c r="AM251">
        <v>1.5676617642181867</v>
      </c>
      <c r="AN251">
        <v>3.5699118684927384</v>
      </c>
      <c r="AO251">
        <v>4.5443668039415854</v>
      </c>
      <c r="AP251">
        <v>3.5252781894102867</v>
      </c>
      <c r="AQ251">
        <v>3.7085115985949386</v>
      </c>
      <c r="AR251">
        <v>4.8638637536228373</v>
      </c>
      <c r="AS251">
        <v>4.5207846360327153</v>
      </c>
      <c r="AT251">
        <v>6.0708082870692976</v>
      </c>
      <c r="AU251">
        <v>7.0931949835733406</v>
      </c>
      <c r="AV251">
        <v>6.6727898305509683</v>
      </c>
      <c r="AW251">
        <v>7.5038146586151555</v>
      </c>
      <c r="AX251">
        <v>7.4763192597634429</v>
      </c>
      <c r="AY251">
        <v>6.5322213884907683</v>
      </c>
      <c r="AZ251">
        <v>6.7685352029493941</v>
      </c>
      <c r="BA251">
        <v>5.6864168590619926</v>
      </c>
      <c r="BB251">
        <v>5.2691052487431591</v>
      </c>
      <c r="BC251">
        <v>6.3365234266786103</v>
      </c>
      <c r="BD251">
        <v>7.6721554348716552</v>
      </c>
      <c r="BE251">
        <v>4.5001535601073499</v>
      </c>
      <c r="BF251">
        <v>6.781585600653159</v>
      </c>
      <c r="BG251">
        <v>6.7324618683248332</v>
      </c>
      <c r="BH251">
        <v>6.1606287740668222</v>
      </c>
      <c r="BI251">
        <v>6.8671161964455081</v>
      </c>
      <c r="BJ251">
        <v>6.7272699683243786</v>
      </c>
      <c r="BK251">
        <v>5.5026759938496639</v>
      </c>
      <c r="BL251">
        <v>5.7999999999672269</v>
      </c>
      <c r="BM251">
        <v>1.9919646064785468</v>
      </c>
      <c r="BN251">
        <v>4.3213842948048153</v>
      </c>
      <c r="BO251">
        <v>4.5580273385858732</v>
      </c>
    </row>
    <row r="252" spans="1:67">
      <c r="A252" t="s">
        <v>1272</v>
      </c>
      <c r="B252" t="s">
        <v>1273</v>
      </c>
      <c r="C252" t="s">
        <v>784</v>
      </c>
      <c r="D252" t="s">
        <v>785</v>
      </c>
      <c r="AB252">
        <v>5.7445577130793737</v>
      </c>
      <c r="AC252">
        <v>-0.34467668015847153</v>
      </c>
      <c r="AD252">
        <v>-3.3063800067749298</v>
      </c>
      <c r="AE252">
        <v>0.39008694306272673</v>
      </c>
      <c r="AF252">
        <v>3.9619027894613197</v>
      </c>
      <c r="AG252">
        <v>8.2670735457780467</v>
      </c>
      <c r="AH252">
        <v>6.3619412439543765</v>
      </c>
      <c r="AI252">
        <v>6.474140152555961</v>
      </c>
      <c r="AJ252">
        <v>5.5540954950792099</v>
      </c>
      <c r="AK252">
        <v>3.4183568946840097</v>
      </c>
      <c r="AL252">
        <v>8.3262925193907193</v>
      </c>
      <c r="AM252">
        <v>6.4036357400745203</v>
      </c>
      <c r="AN252">
        <v>11.523243811952909</v>
      </c>
      <c r="AO252">
        <v>9.0721145790934941</v>
      </c>
      <c r="AP252">
        <v>5.1000018647628309</v>
      </c>
      <c r="AQ252">
        <v>4.9052654845156383</v>
      </c>
      <c r="AR252">
        <v>8.0539483772419658</v>
      </c>
      <c r="AS252">
        <v>3.1419073381869964</v>
      </c>
      <c r="AT252">
        <v>5.1836611249023576</v>
      </c>
      <c r="AU252">
        <v>8.7326857644012676</v>
      </c>
      <c r="AV252">
        <v>6.4732586716654339</v>
      </c>
      <c r="AW252">
        <v>6.807233343618833</v>
      </c>
      <c r="AX252">
        <v>6.3325651162315637</v>
      </c>
      <c r="AY252">
        <v>10.784744385745341</v>
      </c>
      <c r="AZ252">
        <v>8.4124259655107068</v>
      </c>
      <c r="BA252">
        <v>8.7087519015449857</v>
      </c>
      <c r="BB252">
        <v>6.8015173486039515</v>
      </c>
      <c r="BC252">
        <v>5.6376116374975709</v>
      </c>
      <c r="BD252">
        <v>9.3916554927176037</v>
      </c>
      <c r="BE252">
        <v>3.8374556060522877</v>
      </c>
      <c r="BF252">
        <v>3.5869058262302502</v>
      </c>
      <c r="BG252">
        <v>5.1063073253979638</v>
      </c>
      <c r="BH252">
        <v>5.187859860024659</v>
      </c>
      <c r="BI252">
        <v>4.7810002925448174</v>
      </c>
      <c r="BJ252">
        <v>3.1314055172359616</v>
      </c>
      <c r="BK252">
        <v>6.3039237826299654</v>
      </c>
      <c r="BL252">
        <v>6.4387450327643876</v>
      </c>
      <c r="BM252">
        <v>2.9513064221956284</v>
      </c>
      <c r="BN252">
        <v>3.5365803407029404</v>
      </c>
      <c r="BO252">
        <v>4.5880219217814329</v>
      </c>
    </row>
    <row r="253" spans="1:67">
      <c r="A253" t="s">
        <v>1274</v>
      </c>
      <c r="B253" t="s">
        <v>1275</v>
      </c>
      <c r="C253" t="s">
        <v>784</v>
      </c>
      <c r="D253" t="s">
        <v>785</v>
      </c>
      <c r="AG253">
        <v>2.566463269603787</v>
      </c>
      <c r="AH253">
        <v>3.8731032116234445</v>
      </c>
      <c r="AI253">
        <v>-6.3452351283116286</v>
      </c>
      <c r="AJ253">
        <v>-8.699999999721598</v>
      </c>
      <c r="AK253">
        <v>-9.9000000020416792</v>
      </c>
      <c r="AL253">
        <v>-14.199999999364337</v>
      </c>
      <c r="AM253">
        <v>-22.899999999228271</v>
      </c>
      <c r="AN253">
        <v>-12.20000000073847</v>
      </c>
      <c r="AO253">
        <v>-10</v>
      </c>
      <c r="AP253">
        <v>-2.9999999984236467</v>
      </c>
      <c r="AQ253">
        <v>-1.9000000021416383</v>
      </c>
      <c r="AR253">
        <v>-0.20000000010649899</v>
      </c>
      <c r="AS253">
        <v>5.9000000002489941</v>
      </c>
      <c r="AT253">
        <v>8.8000000036722241</v>
      </c>
      <c r="AU253">
        <v>5.339647207190751</v>
      </c>
      <c r="AV253">
        <v>9.5166098643636445</v>
      </c>
      <c r="AW253">
        <v>11.795352528113611</v>
      </c>
      <c r="AX253">
        <v>3.0712303924520938</v>
      </c>
      <c r="AY253">
        <v>7.5714207632296677</v>
      </c>
      <c r="AZ253">
        <v>8.2158444516571478</v>
      </c>
      <c r="BA253">
        <v>2.2434915962828796</v>
      </c>
      <c r="BB253">
        <v>-15.136467910150159</v>
      </c>
      <c r="BC253">
        <v>4.0920043666808681</v>
      </c>
      <c r="BD253">
        <v>5.4452808104847605</v>
      </c>
      <c r="BE253">
        <v>0.15231496720065252</v>
      </c>
      <c r="BF253">
        <v>4.5439094492707E-2</v>
      </c>
      <c r="BG253">
        <v>-10.078894984095271</v>
      </c>
      <c r="BH253">
        <v>-9.772987212867605</v>
      </c>
      <c r="BI253">
        <v>2.4409819449206651</v>
      </c>
      <c r="BJ253">
        <v>2.35997228099491</v>
      </c>
      <c r="BK253">
        <v>3.4883623402265869</v>
      </c>
      <c r="BL253">
        <v>3.199503863541338</v>
      </c>
      <c r="BM253">
        <v>-3.7528040999494863</v>
      </c>
      <c r="BN253">
        <v>3.4456255827111022</v>
      </c>
      <c r="BO253">
        <v>-29.1</v>
      </c>
    </row>
    <row r="254" spans="1:67">
      <c r="A254" t="s">
        <v>1276</v>
      </c>
      <c r="B254" t="s">
        <v>1277</v>
      </c>
      <c r="C254" t="s">
        <v>784</v>
      </c>
      <c r="D254" t="s">
        <v>785</v>
      </c>
      <c r="F254">
        <v>0.17622022044150754</v>
      </c>
      <c r="G254">
        <v>3.2536346454293437</v>
      </c>
      <c r="H254">
        <v>3.5801829613282052</v>
      </c>
      <c r="I254">
        <v>8.5055356674164955</v>
      </c>
      <c r="J254">
        <v>6.8896779646624253</v>
      </c>
      <c r="K254">
        <v>6.0272269345091729</v>
      </c>
      <c r="L254">
        <v>3.1665194332901194</v>
      </c>
      <c r="M254">
        <v>5.8287645357306417</v>
      </c>
      <c r="N254">
        <v>7.6739887761668228</v>
      </c>
      <c r="O254">
        <v>8.2386185242716579</v>
      </c>
      <c r="P254">
        <v>6.7019488706189065</v>
      </c>
      <c r="Q254">
        <v>6.676196556540944</v>
      </c>
      <c r="R254">
        <v>7.9790183539769686</v>
      </c>
      <c r="S254">
        <v>6.124098667986118</v>
      </c>
      <c r="T254">
        <v>5.0378709332916287</v>
      </c>
      <c r="U254">
        <v>5.0941662581570171</v>
      </c>
      <c r="V254">
        <v>4.9456634982635137</v>
      </c>
      <c r="W254">
        <v>5.3140540414770214</v>
      </c>
      <c r="X254">
        <v>6.8852955667166924</v>
      </c>
      <c r="Y254">
        <v>6.5895480103686452</v>
      </c>
      <c r="Z254">
        <v>2.6717400717778901</v>
      </c>
      <c r="AA254">
        <v>2.0615572369371478</v>
      </c>
      <c r="AB254">
        <v>0.89726891549972265</v>
      </c>
      <c r="AC254">
        <v>6.2561088313538988</v>
      </c>
      <c r="AD254">
        <v>4.7739162905826618</v>
      </c>
      <c r="AE254">
        <v>4.6589571356609838</v>
      </c>
      <c r="AF254">
        <v>5.5588374755731707</v>
      </c>
      <c r="AG254">
        <v>3.9273937576086269</v>
      </c>
      <c r="AH254">
        <v>2.6802689061183855</v>
      </c>
      <c r="AI254">
        <v>1.354076569002487</v>
      </c>
      <c r="AJ254">
        <v>1.3714183287925721</v>
      </c>
      <c r="AK254">
        <v>1.4064157736094103</v>
      </c>
      <c r="AL254">
        <v>4.4614020972063173</v>
      </c>
      <c r="AM254">
        <v>3.9015652838889423</v>
      </c>
      <c r="AN254">
        <v>3.7622329943601756</v>
      </c>
      <c r="AO254">
        <v>5.3623726649884276</v>
      </c>
      <c r="AP254">
        <v>5.833467699671985</v>
      </c>
      <c r="AQ254">
        <v>2.2743855431506006</v>
      </c>
      <c r="AR254">
        <v>3.5223945790442457</v>
      </c>
      <c r="AS254">
        <v>6.3426390361056804</v>
      </c>
      <c r="AT254">
        <v>3.5582955674286438</v>
      </c>
      <c r="AU254">
        <v>4.6526229165346962</v>
      </c>
      <c r="AV254">
        <v>5.8776251758874594</v>
      </c>
      <c r="AW254">
        <v>7.9266020156832298</v>
      </c>
      <c r="AX254">
        <v>7.5975227192545134</v>
      </c>
      <c r="AY254">
        <v>8.7354775434789644</v>
      </c>
      <c r="AZ254">
        <v>9.4298319465384424</v>
      </c>
      <c r="BA254">
        <v>6.4128440865951291</v>
      </c>
      <c r="BB254">
        <v>2.6640683643322234</v>
      </c>
      <c r="BC254">
        <v>8.3086335284266397</v>
      </c>
      <c r="BD254">
        <v>6.8720859060581461</v>
      </c>
      <c r="BE254">
        <v>5.9135382307678555</v>
      </c>
      <c r="BF254">
        <v>5.5318509814254071</v>
      </c>
      <c r="BG254">
        <v>4.7059567311267756</v>
      </c>
      <c r="BH254">
        <v>4.2942464566754239</v>
      </c>
      <c r="BI254">
        <v>4.2157607261731727</v>
      </c>
      <c r="BJ254">
        <v>5.2055816236887864</v>
      </c>
      <c r="BK254">
        <v>4.9389591440917968</v>
      </c>
      <c r="BL254">
        <v>4.1220231597513646</v>
      </c>
      <c r="BM254">
        <v>-0.68334849619446913</v>
      </c>
      <c r="BN254">
        <v>7.5849386834299963</v>
      </c>
      <c r="BO254">
        <v>3.1232883696317231</v>
      </c>
    </row>
    <row r="255" spans="1:67">
      <c r="A255" t="s">
        <v>1278</v>
      </c>
      <c r="B255" t="s">
        <v>1279</v>
      </c>
      <c r="C255" t="s">
        <v>784</v>
      </c>
      <c r="D255" t="s">
        <v>785</v>
      </c>
      <c r="F255">
        <v>2.4930379180568423</v>
      </c>
      <c r="G255">
        <v>-1.5745488500242146</v>
      </c>
      <c r="H255">
        <v>0.17045885573479325</v>
      </c>
      <c r="I255">
        <v>2.4405207789358343</v>
      </c>
      <c r="J255">
        <v>1.0456040543126051</v>
      </c>
      <c r="K255">
        <v>3.0628559349364224</v>
      </c>
      <c r="L255">
        <v>-3.6568341128165258</v>
      </c>
      <c r="M255">
        <v>1.8889117447274515</v>
      </c>
      <c r="N255">
        <v>5.8647406331107987</v>
      </c>
      <c r="O255">
        <v>2.3332133807452351</v>
      </c>
      <c r="P255">
        <v>-0.25171153103019606</v>
      </c>
      <c r="Q255">
        <v>-1.3195698616393088</v>
      </c>
      <c r="R255">
        <v>0.27519961741681698</v>
      </c>
      <c r="S255">
        <v>2.8953445983487285</v>
      </c>
      <c r="T255">
        <v>6.0969143129893126</v>
      </c>
      <c r="U255">
        <v>3.9354701753627523</v>
      </c>
      <c r="V255">
        <v>1.4554611784725466</v>
      </c>
      <c r="W255">
        <v>5.3739853476764807</v>
      </c>
      <c r="X255">
        <v>6.1991167323612046</v>
      </c>
      <c r="Y255">
        <v>5.8434009011346149</v>
      </c>
      <c r="Z255">
        <v>1.5595598293749475</v>
      </c>
      <c r="AA255">
        <v>-9.7578714608850419</v>
      </c>
      <c r="AB255">
        <v>-10.274399195032018</v>
      </c>
      <c r="AC255">
        <v>-1.1426174497519952</v>
      </c>
      <c r="AD255">
        <v>1.4665360288728095</v>
      </c>
      <c r="AE255">
        <v>8.8098082946938376</v>
      </c>
      <c r="AF255">
        <v>7.9931372051043752</v>
      </c>
      <c r="AG255">
        <v>1.48093746177193</v>
      </c>
      <c r="AH255">
        <v>1.1039010238152969</v>
      </c>
      <c r="AI255">
        <v>0.29734837868156205</v>
      </c>
      <c r="AJ255">
        <v>3.538808504513085</v>
      </c>
      <c r="AK255">
        <v>7.9315884139544295</v>
      </c>
      <c r="AL255">
        <v>2.6575461069854498</v>
      </c>
      <c r="AM255">
        <v>7.2813426441012723</v>
      </c>
      <c r="AN255">
        <v>-1.447598968944078</v>
      </c>
      <c r="AO255">
        <v>5.5779577638586773</v>
      </c>
      <c r="AP255">
        <v>8.5476832011159587</v>
      </c>
      <c r="AQ255">
        <v>4.518890096790912</v>
      </c>
      <c r="AR255">
        <v>-1.520945919920365</v>
      </c>
      <c r="AS255">
        <v>-1.9299306354923544</v>
      </c>
      <c r="AT255">
        <v>-3.8441299594037446</v>
      </c>
      <c r="AU255">
        <v>-7.7320072154004444</v>
      </c>
      <c r="AV255">
        <v>0.80528391589382409</v>
      </c>
      <c r="AW255">
        <v>5.0041603556445722</v>
      </c>
      <c r="AX255">
        <v>7.4601321302473025</v>
      </c>
      <c r="AY255">
        <v>4.0985773544540081</v>
      </c>
      <c r="AZ255">
        <v>6.5415108450481654</v>
      </c>
      <c r="BA255">
        <v>7.1761446645510745</v>
      </c>
      <c r="BB255">
        <v>4.2434941946242617</v>
      </c>
      <c r="BC255">
        <v>7.8034096507169011</v>
      </c>
      <c r="BD255">
        <v>5.1621330246360628</v>
      </c>
      <c r="BE255">
        <v>3.5381787205686948</v>
      </c>
      <c r="BF255">
        <v>4.6375386290241636</v>
      </c>
      <c r="BG255">
        <v>3.2387912295236418</v>
      </c>
      <c r="BH255">
        <v>0.37074125768134536</v>
      </c>
      <c r="BI255">
        <v>1.6897981593348561</v>
      </c>
      <c r="BJ255">
        <v>1.7403764926244634</v>
      </c>
      <c r="BK255">
        <v>0.15600000113791168</v>
      </c>
      <c r="BL255">
        <v>0.74443164497766645</v>
      </c>
      <c r="BM255">
        <v>-6.2629768188732413</v>
      </c>
      <c r="BN255">
        <v>5.27655886746021</v>
      </c>
      <c r="BO255">
        <v>4.9218744632692761</v>
      </c>
    </row>
    <row r="256" spans="1:67">
      <c r="A256" t="s">
        <v>685</v>
      </c>
      <c r="B256" t="s">
        <v>1280</v>
      </c>
      <c r="C256" t="s">
        <v>784</v>
      </c>
      <c r="D256" t="s">
        <v>785</v>
      </c>
      <c r="F256">
        <v>2.2999999999996845</v>
      </c>
      <c r="G256">
        <v>6.1000000000001222</v>
      </c>
      <c r="H256">
        <v>4.3999999999999204</v>
      </c>
      <c r="I256">
        <v>5.8000000000002956</v>
      </c>
      <c r="J256">
        <v>6.3999999999997641</v>
      </c>
      <c r="K256">
        <v>6.5000000000002842</v>
      </c>
      <c r="L256">
        <v>2.5000000000000284</v>
      </c>
      <c r="M256">
        <v>4.799999999999585</v>
      </c>
      <c r="N256">
        <v>3.0999999999999943</v>
      </c>
      <c r="O256">
        <v>-0.28349126321482743</v>
      </c>
      <c r="P256">
        <v>3.2933516392178461</v>
      </c>
      <c r="Q256">
        <v>5.2589073570513278</v>
      </c>
      <c r="R256">
        <v>5.6457225561830029</v>
      </c>
      <c r="S256">
        <v>-0.5405516515831863</v>
      </c>
      <c r="T256">
        <v>-0.20545606501300995</v>
      </c>
      <c r="U256">
        <v>5.3881392872629448</v>
      </c>
      <c r="V256">
        <v>4.6241530648236733</v>
      </c>
      <c r="W256">
        <v>5.5353049583976883</v>
      </c>
      <c r="X256">
        <v>3.1661453077800275</v>
      </c>
      <c r="Y256">
        <v>-0.25674967387315917</v>
      </c>
      <c r="Z256">
        <v>2.5377193071482793</v>
      </c>
      <c r="AA256">
        <v>-1.8028874088510918</v>
      </c>
      <c r="AB256">
        <v>4.5839133553016893</v>
      </c>
      <c r="AC256">
        <v>7.2366331501862078</v>
      </c>
      <c r="AD256">
        <v>4.169656223377288</v>
      </c>
      <c r="AE256">
        <v>3.4626459710687953</v>
      </c>
      <c r="AF256">
        <v>3.4592519897330192</v>
      </c>
      <c r="AG256">
        <v>4.1770612914040015</v>
      </c>
      <c r="AH256">
        <v>3.6726481495078787</v>
      </c>
      <c r="AI256">
        <v>1.8859649566803256</v>
      </c>
      <c r="AJ256">
        <v>-0.10826479085554297</v>
      </c>
      <c r="AK256">
        <v>3.5224405274050241</v>
      </c>
      <c r="AL256">
        <v>2.7517810509664287</v>
      </c>
      <c r="AM256">
        <v>4.028793259919027</v>
      </c>
      <c r="AN256">
        <v>2.6842172720778592</v>
      </c>
      <c r="AO256">
        <v>3.7725654992141386</v>
      </c>
      <c r="AP256">
        <v>4.4471749452452514</v>
      </c>
      <c r="AQ256">
        <v>4.4813944315531558</v>
      </c>
      <c r="AR256">
        <v>4.7944990446750779</v>
      </c>
      <c r="AS256">
        <v>4.0771594794161814</v>
      </c>
      <c r="AT256">
        <v>0.95433872870837888</v>
      </c>
      <c r="AU256">
        <v>1.6959429227495662</v>
      </c>
      <c r="AV256">
        <v>2.7962091006717031</v>
      </c>
      <c r="AW256">
        <v>3.8525526006435058</v>
      </c>
      <c r="AX256">
        <v>3.4832203202525847</v>
      </c>
      <c r="AY256">
        <v>2.7828106258432683</v>
      </c>
      <c r="AZ256">
        <v>2.0105075516332818</v>
      </c>
      <c r="BA256">
        <v>0.1221884429746467</v>
      </c>
      <c r="BB256">
        <v>-2.5998883510855819</v>
      </c>
      <c r="BC256">
        <v>2.7088566941968111</v>
      </c>
      <c r="BD256">
        <v>1.5498949501704544</v>
      </c>
      <c r="BE256">
        <v>2.2806876031918506</v>
      </c>
      <c r="BF256">
        <v>1.8418753951868752</v>
      </c>
      <c r="BG256">
        <v>2.2877759325535862</v>
      </c>
      <c r="BH256">
        <v>2.7063695817639939</v>
      </c>
      <c r="BI256">
        <v>1.667472075961868</v>
      </c>
      <c r="BJ256">
        <v>2.2419212159774844</v>
      </c>
      <c r="BK256">
        <v>2.9453848312678019</v>
      </c>
      <c r="BL256">
        <v>2.2944390776931129</v>
      </c>
      <c r="BM256">
        <v>-2.767802511405776</v>
      </c>
      <c r="BN256">
        <v>5.9454847612217208</v>
      </c>
      <c r="BO256">
        <v>1.9356345918708087</v>
      </c>
    </row>
    <row r="257" spans="1:68">
      <c r="A257" t="s">
        <v>1281</v>
      </c>
      <c r="B257" t="s">
        <v>1282</v>
      </c>
      <c r="C257" t="s">
        <v>784</v>
      </c>
      <c r="D257" t="s">
        <v>785</v>
      </c>
      <c r="AG257">
        <v>9.1385822751578871</v>
      </c>
      <c r="AH257">
        <v>3.0912939730977769</v>
      </c>
      <c r="AI257">
        <v>1.6000000058370176</v>
      </c>
      <c r="AJ257">
        <v>-0.49200000516307796</v>
      </c>
      <c r="AK257">
        <v>-11.199999997315999</v>
      </c>
      <c r="AL257">
        <v>-2.3000000043897302</v>
      </c>
      <c r="AM257">
        <v>-5.1999999930670526</v>
      </c>
      <c r="AN257">
        <v>-0.90000000546145031</v>
      </c>
      <c r="AO257">
        <v>1.7000000030620299</v>
      </c>
      <c r="AP257">
        <v>5.1999999965640171</v>
      </c>
      <c r="AQ257">
        <v>4.3000000010628696</v>
      </c>
      <c r="AR257">
        <v>4.3000000017939612</v>
      </c>
      <c r="AS257">
        <v>3.8350000001403259</v>
      </c>
      <c r="AT257">
        <v>4.1638382499888991</v>
      </c>
      <c r="AU257">
        <v>3.9734881923572374</v>
      </c>
      <c r="AV257">
        <v>4.2326273815436366</v>
      </c>
      <c r="AW257">
        <v>7.4490006055966376</v>
      </c>
      <c r="AX257">
        <v>6.9500071956909721</v>
      </c>
      <c r="AY257">
        <v>7.4514184762176825</v>
      </c>
      <c r="AZ257">
        <v>9.4730053054453975</v>
      </c>
      <c r="BA257">
        <v>9.0291610178477697</v>
      </c>
      <c r="BB257">
        <v>8.0509333273396351</v>
      </c>
      <c r="BC257">
        <v>7.5971679610016025</v>
      </c>
      <c r="BD257">
        <v>7.5251398942297669</v>
      </c>
      <c r="BE257">
        <v>7.1024448875344603</v>
      </c>
      <c r="BF257">
        <v>7.2965503687868249</v>
      </c>
      <c r="BG257">
        <v>6.8738384461758386</v>
      </c>
      <c r="BH257">
        <v>7.218773503462856</v>
      </c>
      <c r="BI257">
        <v>5.9321508024275005</v>
      </c>
      <c r="BJ257">
        <v>4.3952746345637053</v>
      </c>
      <c r="BK257">
        <v>5.8797428668513163</v>
      </c>
      <c r="BL257">
        <v>5.9815619419731689</v>
      </c>
      <c r="BM257">
        <v>1.9955850814369995</v>
      </c>
      <c r="BN257">
        <v>7.4033681363908244</v>
      </c>
      <c r="BO257">
        <v>5.6688170531541857</v>
      </c>
    </row>
    <row r="258" spans="1:68">
      <c r="A258" t="s">
        <v>1283</v>
      </c>
      <c r="B258" t="s">
        <v>1284</v>
      </c>
      <c r="C258" t="s">
        <v>784</v>
      </c>
      <c r="D258" t="s">
        <v>785</v>
      </c>
      <c r="F258">
        <v>4.5272832783310264</v>
      </c>
      <c r="G258">
        <v>3.694261800950585</v>
      </c>
      <c r="H258">
        <v>-6.2653385264846406</v>
      </c>
      <c r="I258">
        <v>3.6697255646114542</v>
      </c>
      <c r="J258">
        <v>0.88493506710317149</v>
      </c>
      <c r="K258">
        <v>0</v>
      </c>
      <c r="L258">
        <v>-9.5238134641396783</v>
      </c>
      <c r="M258">
        <v>6.5097058890779067</v>
      </c>
      <c r="N258">
        <v>2.8608449698002545</v>
      </c>
      <c r="O258">
        <v>10.745889553105229</v>
      </c>
      <c r="P258">
        <v>2.9680505843762859</v>
      </c>
      <c r="Q258">
        <v>25.831488942193758</v>
      </c>
      <c r="R258">
        <v>-11.101335049714081</v>
      </c>
      <c r="S258">
        <v>-8.8205915311867784</v>
      </c>
      <c r="T258">
        <v>-7.6087094348542337</v>
      </c>
      <c r="U258">
        <v>10.376820315912937</v>
      </c>
      <c r="V258">
        <v>13.22941109525442</v>
      </c>
      <c r="W258">
        <v>9.7774738935852099</v>
      </c>
      <c r="X258">
        <v>3.3822169375082467</v>
      </c>
      <c r="Y258">
        <v>2.442720219078069</v>
      </c>
      <c r="Z258">
        <v>4.6139040863971417</v>
      </c>
      <c r="AA258">
        <v>4.4768491703859326</v>
      </c>
      <c r="AB258">
        <v>2.1685961193543761</v>
      </c>
      <c r="AC258">
        <v>6.5863389722310899</v>
      </c>
      <c r="AD258">
        <v>6.1793462799646619</v>
      </c>
      <c r="AE258">
        <v>5.5997405307838051</v>
      </c>
      <c r="AF258">
        <v>0.43800494090939424</v>
      </c>
      <c r="AG258">
        <v>14.074694534189902</v>
      </c>
      <c r="AH258">
        <v>1.4056107880040116</v>
      </c>
      <c r="AI258">
        <v>4.149186828343062</v>
      </c>
      <c r="AJ258">
        <v>1.1355751883269818</v>
      </c>
      <c r="AK258">
        <v>6.3779406270829213</v>
      </c>
      <c r="AL258">
        <v>4.2507307739710285</v>
      </c>
      <c r="AM258">
        <v>-1.2476233644714796</v>
      </c>
      <c r="AN258">
        <v>7.7666502445524799</v>
      </c>
      <c r="AO258">
        <v>1.2879120031408888</v>
      </c>
      <c r="AP258">
        <v>3.5051508727062668</v>
      </c>
      <c r="AQ258">
        <v>4.0901949332585019</v>
      </c>
      <c r="AR258">
        <v>2.7103107128915553</v>
      </c>
      <c r="AS258">
        <v>1.6390319039446695</v>
      </c>
      <c r="AT258">
        <v>1.7482310202889835</v>
      </c>
      <c r="AU258">
        <v>5.342127074367184</v>
      </c>
      <c r="AV258">
        <v>6.6913366535279692</v>
      </c>
      <c r="AW258">
        <v>4.1146988044473716</v>
      </c>
      <c r="AX258">
        <v>2.4885573393813161</v>
      </c>
      <c r="AY258">
        <v>6.9969262675882504</v>
      </c>
      <c r="AZ258">
        <v>3.3229685982929027</v>
      </c>
      <c r="BA258">
        <v>0.40464080863888796</v>
      </c>
      <c r="BB258">
        <v>-1.3781936056056026</v>
      </c>
      <c r="BC258">
        <v>-4.4704679350780197</v>
      </c>
      <c r="BD258">
        <v>-0.60627665148327026</v>
      </c>
      <c r="BE258">
        <v>1.1691121837647813</v>
      </c>
      <c r="BF258">
        <v>2.4624841721544044</v>
      </c>
      <c r="BG258">
        <v>1.1457271877622048</v>
      </c>
      <c r="BH258">
        <v>2.7850979176355111</v>
      </c>
      <c r="BI258">
        <v>4.1496810046980954</v>
      </c>
      <c r="BJ258">
        <v>1.5481017323995587</v>
      </c>
      <c r="BK258">
        <v>3.1756114423991022</v>
      </c>
      <c r="BL258">
        <v>0.66172744367986525</v>
      </c>
      <c r="BM258">
        <v>-3.7395620535138505</v>
      </c>
      <c r="BN258">
        <v>0.79529393458707887</v>
      </c>
      <c r="BO258">
        <v>4.9099274874464527</v>
      </c>
    </row>
    <row r="259" spans="1:68">
      <c r="A259" t="s">
        <v>1285</v>
      </c>
      <c r="B259" t="s">
        <v>1286</v>
      </c>
      <c r="C259" t="s">
        <v>784</v>
      </c>
      <c r="D259" t="s">
        <v>785</v>
      </c>
      <c r="F259">
        <v>3.1925194388935836</v>
      </c>
      <c r="G259">
        <v>8.5329337629071347</v>
      </c>
      <c r="H259">
        <v>3.9009511638181635</v>
      </c>
      <c r="I259">
        <v>11.129345293262546</v>
      </c>
      <c r="J259">
        <v>4.1628666647640244</v>
      </c>
      <c r="K259">
        <v>1.5102501110188626</v>
      </c>
      <c r="L259">
        <v>2.8338690309889643</v>
      </c>
      <c r="M259">
        <v>7.3372326582167489</v>
      </c>
      <c r="N259">
        <v>0.70603679615604165</v>
      </c>
      <c r="O259">
        <v>7.7119143812438153</v>
      </c>
      <c r="P259">
        <v>1.479291209989924</v>
      </c>
      <c r="Q259">
        <v>1.2828050361939631</v>
      </c>
      <c r="R259">
        <v>7.1099578949557696</v>
      </c>
      <c r="S259">
        <v>2.0693332016928423</v>
      </c>
      <c r="T259">
        <v>2.896257780071565</v>
      </c>
      <c r="U259">
        <v>7.7277398467983573</v>
      </c>
      <c r="V259">
        <v>6.2707835129883307</v>
      </c>
      <c r="W259">
        <v>2.3468963719124361</v>
      </c>
      <c r="X259">
        <v>0.76435514542563965</v>
      </c>
      <c r="Y259">
        <v>-4.4213223644177617</v>
      </c>
      <c r="Z259">
        <v>-0.36281090307269892</v>
      </c>
      <c r="AA259">
        <v>-2.0710060706990419</v>
      </c>
      <c r="AB259">
        <v>-3.7648171234142183</v>
      </c>
      <c r="AC259">
        <v>1.4421646334598108</v>
      </c>
      <c r="AD259">
        <v>0.19330016136507311</v>
      </c>
      <c r="AE259">
        <v>6.5103450282765891</v>
      </c>
      <c r="AF259">
        <v>3.5816499384792024</v>
      </c>
      <c r="AG259">
        <v>5.8213684197814217</v>
      </c>
      <c r="AH259">
        <v>-8.5698820132998463</v>
      </c>
      <c r="AI259">
        <v>6.4679408530580815</v>
      </c>
      <c r="AJ259">
        <v>9.7298879771459497</v>
      </c>
      <c r="AK259">
        <v>6.0604732624884861</v>
      </c>
      <c r="AL259">
        <v>0.2753881575618351</v>
      </c>
      <c r="AM259">
        <v>-2.3495079282346865</v>
      </c>
      <c r="AN259">
        <v>3.9516627239124062</v>
      </c>
      <c r="AO259">
        <v>-0.19783725666346186</v>
      </c>
      <c r="AP259">
        <v>6.3709314010188081</v>
      </c>
      <c r="AQ259">
        <v>0.29405516051951963</v>
      </c>
      <c r="AR259">
        <v>-5.9704581464099959</v>
      </c>
      <c r="AS259">
        <v>3.6869441668768275</v>
      </c>
      <c r="AT259">
        <v>3.3942361077907037</v>
      </c>
      <c r="AU259">
        <v>-8.8556473528677913</v>
      </c>
      <c r="AV259">
        <v>-7.75530004959883</v>
      </c>
      <c r="AW259">
        <v>18.286606689124454</v>
      </c>
      <c r="AX259">
        <v>10.317913804314841</v>
      </c>
      <c r="AY259">
        <v>9.8721491085103708</v>
      </c>
      <c r="AZ259">
        <v>8.7535788078585028</v>
      </c>
      <c r="BA259">
        <v>5.2778541239878223</v>
      </c>
      <c r="BB259">
        <v>-3.2023026574900229</v>
      </c>
      <c r="BC259">
        <v>-1.4887912507834784</v>
      </c>
      <c r="BD259">
        <v>4.1764253592392748</v>
      </c>
      <c r="BE259">
        <v>5.6259569750864102</v>
      </c>
      <c r="BF259">
        <v>1.3430940360747599</v>
      </c>
      <c r="BG259">
        <v>-3.8943864745066179</v>
      </c>
    </row>
    <row r="260" spans="1:68">
      <c r="A260" t="s">
        <v>1287</v>
      </c>
      <c r="B260" t="s">
        <v>1288</v>
      </c>
      <c r="C260" t="s">
        <v>784</v>
      </c>
      <c r="D260" t="s">
        <v>785</v>
      </c>
    </row>
    <row r="261" spans="1:68">
      <c r="A261" t="s">
        <v>1289</v>
      </c>
      <c r="B261" t="s">
        <v>1290</v>
      </c>
      <c r="C261" t="s">
        <v>784</v>
      </c>
      <c r="D261" t="s">
        <v>785</v>
      </c>
      <c r="AV261">
        <v>-0.39608088388575879</v>
      </c>
      <c r="AW261">
        <v>3.2858936793637668</v>
      </c>
      <c r="AX261">
        <v>3.4853090172238979</v>
      </c>
      <c r="AY261">
        <v>3.5049931466614339</v>
      </c>
      <c r="AZ261">
        <v>4.0105940219447689</v>
      </c>
      <c r="BA261">
        <v>1.2186249545289058</v>
      </c>
      <c r="BB261">
        <v>-6.5947888589398076</v>
      </c>
      <c r="BC261">
        <v>0.59638322431705149</v>
      </c>
      <c r="BD261">
        <v>-8.2042455536431476</v>
      </c>
      <c r="BE261">
        <v>-14.8125</v>
      </c>
      <c r="BF261">
        <v>-6.2851552946930838</v>
      </c>
      <c r="BG261">
        <v>-1.7745302713987456</v>
      </c>
      <c r="BH261">
        <v>-0.4250797024442079</v>
      </c>
      <c r="BI261">
        <v>1.6008537886873029</v>
      </c>
      <c r="BJ261">
        <v>-0.73529411764705799</v>
      </c>
      <c r="BK261">
        <v>1.904761904761898</v>
      </c>
      <c r="BL261">
        <v>2.9335410176531695</v>
      </c>
      <c r="BM261">
        <v>-1.9167717528373345</v>
      </c>
      <c r="BN261">
        <v>2.8542041655952772</v>
      </c>
    </row>
    <row r="262" spans="1:68">
      <c r="A262" t="s">
        <v>1291</v>
      </c>
      <c r="B262" t="s">
        <v>1292</v>
      </c>
      <c r="C262" t="s">
        <v>784</v>
      </c>
      <c r="D262" t="s">
        <v>785</v>
      </c>
      <c r="AD262">
        <v>3.8058556681094728</v>
      </c>
      <c r="AE262">
        <v>2.7892915747944329</v>
      </c>
      <c r="AF262">
        <v>3.5834696313071959</v>
      </c>
      <c r="AG262">
        <v>5.1350116715780842</v>
      </c>
      <c r="AH262">
        <v>7.3645128939581923</v>
      </c>
      <c r="AI262">
        <v>5.1009181390836886</v>
      </c>
      <c r="AJ262">
        <v>5.9608439321891211</v>
      </c>
      <c r="AK262">
        <v>8.6460474593457235</v>
      </c>
      <c r="AL262">
        <v>8.0727306573960504</v>
      </c>
      <c r="AM262">
        <v>8.8389809524537384</v>
      </c>
      <c r="AN262">
        <v>9.5404801749126449</v>
      </c>
      <c r="AO262">
        <v>9.3400174993917915</v>
      </c>
      <c r="AP262">
        <v>8.1520841433542017</v>
      </c>
      <c r="AQ262">
        <v>5.7644554584884276</v>
      </c>
      <c r="AR262">
        <v>4.7735868834498945</v>
      </c>
      <c r="AS262">
        <v>6.7873164046315111</v>
      </c>
      <c r="AT262">
        <v>6.1928933123337657</v>
      </c>
      <c r="AU262">
        <v>6.3208209916083291</v>
      </c>
      <c r="AV262">
        <v>6.8990634905525781</v>
      </c>
      <c r="AW262">
        <v>7.5364106089038643</v>
      </c>
      <c r="AX262">
        <v>7.5472477289591779</v>
      </c>
      <c r="AY262">
        <v>6.9779548105671125</v>
      </c>
      <c r="AZ262">
        <v>7.1295044860543868</v>
      </c>
      <c r="BA262">
        <v>5.6617712089136205</v>
      </c>
      <c r="BB262">
        <v>5.3978975401418126</v>
      </c>
      <c r="BC262">
        <v>6.4232448223948211</v>
      </c>
      <c r="BD262">
        <v>6.4131688968168277</v>
      </c>
      <c r="BE262">
        <v>5.5045447041188993</v>
      </c>
      <c r="BF262">
        <v>5.5535108102607182</v>
      </c>
      <c r="BG262">
        <v>6.422243121185673</v>
      </c>
      <c r="BH262">
        <v>6.9871543059861096</v>
      </c>
      <c r="BI262">
        <v>6.6900089266042357</v>
      </c>
      <c r="BJ262">
        <v>6.9401903735920598</v>
      </c>
      <c r="BK262">
        <v>7.4650068557275091</v>
      </c>
      <c r="BL262">
        <v>7.3592627010500564</v>
      </c>
      <c r="BM262">
        <v>2.8654132091227211</v>
      </c>
      <c r="BN262">
        <v>2.5615641067098522</v>
      </c>
      <c r="BO262">
        <v>8.019792374428377</v>
      </c>
    </row>
    <row r="263" spans="1:68">
      <c r="A263" t="s">
        <v>1293</v>
      </c>
      <c r="B263" t="s">
        <v>1294</v>
      </c>
      <c r="C263" t="s">
        <v>784</v>
      </c>
      <c r="D263" t="s">
        <v>785</v>
      </c>
      <c r="Y263">
        <v>-11.39980670776967</v>
      </c>
      <c r="Z263">
        <v>4.3779566769026417</v>
      </c>
      <c r="AA263">
        <v>1.9798831153341467</v>
      </c>
      <c r="AB263">
        <v>3.0096292542201013</v>
      </c>
      <c r="AC263">
        <v>9.5749914846913668</v>
      </c>
      <c r="AD263">
        <v>1.0016233205540033</v>
      </c>
      <c r="AE263">
        <v>-0.15046335875251771</v>
      </c>
      <c r="AF263">
        <v>-2.8939347237919151</v>
      </c>
      <c r="AG263">
        <v>-1.692882838400223</v>
      </c>
      <c r="AH263">
        <v>1.5318935208437949</v>
      </c>
      <c r="AI263">
        <v>11.695699798593679</v>
      </c>
      <c r="AJ263">
        <v>3.1476384802758588</v>
      </c>
      <c r="AK263">
        <v>2.5854137275347995</v>
      </c>
      <c r="AL263">
        <v>0.73544799545577177</v>
      </c>
      <c r="AM263">
        <v>9.0814660928921143</v>
      </c>
      <c r="AN263">
        <v>1.003945041490951</v>
      </c>
      <c r="AO263">
        <v>2.327335416442196</v>
      </c>
      <c r="AP263">
        <v>4.9068126776876824</v>
      </c>
      <c r="AQ263">
        <v>1.1768543611362077</v>
      </c>
      <c r="AR263">
        <v>0.33729322189431343</v>
      </c>
      <c r="AS263">
        <v>5.924809056529142</v>
      </c>
      <c r="AT263">
        <v>-3.3975824893825575</v>
      </c>
      <c r="AU263">
        <v>-5.1983187593603475</v>
      </c>
      <c r="AV263">
        <v>4.2883351169545847</v>
      </c>
      <c r="AW263">
        <v>3.987392802169623</v>
      </c>
      <c r="AX263">
        <v>5.3053264725922702</v>
      </c>
      <c r="AY263">
        <v>8.4606974720542638</v>
      </c>
      <c r="AZ263">
        <v>2.8758922877537998</v>
      </c>
      <c r="BA263">
        <v>5.6009918214721353</v>
      </c>
      <c r="BB263">
        <v>3.037303540996021</v>
      </c>
      <c r="BC263">
        <v>1.2588672032932635</v>
      </c>
      <c r="BD263">
        <v>3.1398029002341161</v>
      </c>
      <c r="BE263">
        <v>1.0100476869204158</v>
      </c>
      <c r="BF263">
        <v>0.46339041513509471</v>
      </c>
      <c r="BG263">
        <v>3.1368672943869313</v>
      </c>
      <c r="BH263">
        <v>0.36652207538921289</v>
      </c>
      <c r="BI263">
        <v>4.6887563655856326</v>
      </c>
      <c r="BJ263">
        <v>6.3173053844307674</v>
      </c>
      <c r="BK263">
        <v>2.9002302725644569</v>
      </c>
      <c r="BL263">
        <v>3.241187655404417</v>
      </c>
      <c r="BM263">
        <v>-4.9924914288952493</v>
      </c>
      <c r="BN263">
        <v>0.6486534848349379</v>
      </c>
      <c r="BO263">
        <v>1.8489710653806952</v>
      </c>
    </row>
    <row r="264" spans="1:68">
      <c r="A264" t="s">
        <v>1295</v>
      </c>
      <c r="B264" t="s">
        <v>1296</v>
      </c>
      <c r="C264" t="s">
        <v>784</v>
      </c>
      <c r="D264" t="s">
        <v>785</v>
      </c>
      <c r="F264">
        <v>3.7729239485400967</v>
      </c>
      <c r="G264">
        <v>5.3753604902797321</v>
      </c>
      <c r="H264">
        <v>5.194927390720224</v>
      </c>
      <c r="I264">
        <v>6.564475895019271</v>
      </c>
      <c r="J264">
        <v>5.5774513685845193</v>
      </c>
      <c r="K264">
        <v>5.7403769461337362</v>
      </c>
      <c r="L264">
        <v>4.1240503333840053</v>
      </c>
      <c r="M264">
        <v>5.9216326421314989</v>
      </c>
      <c r="N264">
        <v>5.788664968318713</v>
      </c>
      <c r="O264">
        <v>4.0152002229394412</v>
      </c>
      <c r="P264">
        <v>4.2689297066417424</v>
      </c>
      <c r="Q264">
        <v>5.6174839454425012</v>
      </c>
      <c r="R264">
        <v>6.4177560089495671</v>
      </c>
      <c r="S264">
        <v>1.8533576276608841</v>
      </c>
      <c r="T264">
        <v>0.67191453484510077</v>
      </c>
      <c r="U264">
        <v>5.3245276339989971</v>
      </c>
      <c r="V264">
        <v>4.0867348376578718</v>
      </c>
      <c r="W264">
        <v>4.1322977269712737</v>
      </c>
      <c r="X264">
        <v>4.173911427834696</v>
      </c>
      <c r="Y264">
        <v>1.8985384835588519</v>
      </c>
      <c r="Z264">
        <v>2.0121040606357496</v>
      </c>
      <c r="AA264">
        <v>0.3003891337270943</v>
      </c>
      <c r="AB264">
        <v>2.6027878646750224</v>
      </c>
      <c r="AC264">
        <v>4.7112772025024441</v>
      </c>
      <c r="AD264">
        <v>3.7179109551395868</v>
      </c>
      <c r="AE264">
        <v>3.3766358067398841</v>
      </c>
      <c r="AF264">
        <v>3.7439466382113835</v>
      </c>
      <c r="AG264">
        <v>4.6259138416373133</v>
      </c>
      <c r="AH264">
        <v>3.7109307499607809</v>
      </c>
      <c r="AI264">
        <v>2.8082681816759703</v>
      </c>
      <c r="AJ264">
        <v>1.3756235186930752</v>
      </c>
      <c r="AK264">
        <v>2.0476018397323372</v>
      </c>
      <c r="AL264">
        <v>1.8438305931328642</v>
      </c>
      <c r="AM264">
        <v>3.326061783892726</v>
      </c>
      <c r="AN264">
        <v>3.0789863472410701</v>
      </c>
      <c r="AO264">
        <v>3.5781913415617623</v>
      </c>
      <c r="AP264">
        <v>3.9210347869667288</v>
      </c>
      <c r="AQ264">
        <v>2.8567620953070332</v>
      </c>
      <c r="AR264">
        <v>3.5547331834108604</v>
      </c>
      <c r="AS264">
        <v>4.529039200998028</v>
      </c>
      <c r="AT264">
        <v>2.027498194441236</v>
      </c>
      <c r="AU264">
        <v>2.2987199119866233</v>
      </c>
      <c r="AV264">
        <v>3.1056002139671506</v>
      </c>
      <c r="AW264">
        <v>4.4714941415159473</v>
      </c>
      <c r="AX264">
        <v>4.0066777637138671</v>
      </c>
      <c r="AY264">
        <v>4.4401531993271419</v>
      </c>
      <c r="AZ264">
        <v>4.3754290512113982</v>
      </c>
      <c r="BA264">
        <v>2.0637009405291451</v>
      </c>
      <c r="BB264">
        <v>-1.3646809340872039</v>
      </c>
      <c r="BC264">
        <v>4.5278069927051234</v>
      </c>
      <c r="BD264">
        <v>3.3169773029586622</v>
      </c>
      <c r="BE264">
        <v>2.6977042222217023</v>
      </c>
      <c r="BF264">
        <v>2.7997017323568798</v>
      </c>
      <c r="BG264">
        <v>3.0670082983554892</v>
      </c>
      <c r="BH264">
        <v>3.0695930561623186</v>
      </c>
      <c r="BI264">
        <v>2.7867570790746328</v>
      </c>
      <c r="BJ264">
        <v>3.3960566161858878</v>
      </c>
      <c r="BK264">
        <v>3.2762831202231695</v>
      </c>
      <c r="BL264">
        <v>2.5907854572536024</v>
      </c>
      <c r="BM264">
        <v>-3.0578097666828228</v>
      </c>
      <c r="BN264">
        <v>6.2285939641711252</v>
      </c>
      <c r="BO264">
        <v>3.0893791250127265</v>
      </c>
    </row>
    <row r="265" spans="1:68">
      <c r="A265" t="s">
        <v>1297</v>
      </c>
      <c r="B265" t="s">
        <v>1298</v>
      </c>
      <c r="C265" t="s">
        <v>784</v>
      </c>
      <c r="D265" t="s">
        <v>785</v>
      </c>
      <c r="AB265">
        <v>0.43103597567682073</v>
      </c>
      <c r="AC265">
        <v>1.2875580884613527</v>
      </c>
      <c r="AD265">
        <v>3.9194963602891875</v>
      </c>
      <c r="AE265">
        <v>5.504578341318151</v>
      </c>
      <c r="AF265">
        <v>0.48309603354834962</v>
      </c>
      <c r="AG265">
        <v>-1.4422997223475136</v>
      </c>
      <c r="AH265">
        <v>3.7073137000617038</v>
      </c>
      <c r="AI265">
        <v>-4.4214509455624835</v>
      </c>
      <c r="AJ265">
        <v>-2.3000123568196074</v>
      </c>
      <c r="AK265">
        <v>-0.1999871450703381</v>
      </c>
      <c r="AL265">
        <v>4.0999910101388934</v>
      </c>
      <c r="AM265">
        <v>-2.5421004809094825</v>
      </c>
      <c r="AN265">
        <v>6.6736431464967012</v>
      </c>
      <c r="AO265">
        <v>7.1789688178318727</v>
      </c>
      <c r="AP265">
        <v>0.64342500432313443</v>
      </c>
      <c r="AQ265">
        <v>2.1948897178647826</v>
      </c>
      <c r="AR265">
        <v>2.1854343739738766</v>
      </c>
      <c r="AS265">
        <v>5.093044692444181</v>
      </c>
      <c r="AT265">
        <v>7.390129061729894</v>
      </c>
      <c r="AU265">
        <v>5.6519591989034836</v>
      </c>
      <c r="AV265">
        <v>5.2126289263414947</v>
      </c>
      <c r="AW265">
        <v>3.0872602379674987</v>
      </c>
      <c r="AX265">
        <v>6.6392036130073393</v>
      </c>
      <c r="AY265">
        <v>2.132127146773513</v>
      </c>
      <c r="AZ265">
        <v>0.48598255001725477</v>
      </c>
      <c r="BA265">
        <v>3.5561046739500028</v>
      </c>
      <c r="BB265">
        <v>-0.54167760183459279</v>
      </c>
      <c r="BC265">
        <v>6.1247199226124991</v>
      </c>
      <c r="BD265">
        <v>3.8490779466039555</v>
      </c>
      <c r="BE265">
        <v>-3.7321302089026602</v>
      </c>
      <c r="BF265">
        <v>0.10729327648893161</v>
      </c>
      <c r="BG265">
        <v>0.65992376878286052</v>
      </c>
      <c r="BH265">
        <v>3.8503618166493965</v>
      </c>
      <c r="BI265">
        <v>7.9838628784712995</v>
      </c>
      <c r="BJ265">
        <v>1.4062823997130067</v>
      </c>
      <c r="BK265">
        <v>-0.60964710338014072</v>
      </c>
      <c r="BL265">
        <v>4.4518589168869056</v>
      </c>
      <c r="BM265">
        <v>-3.108444010531386</v>
      </c>
      <c r="BN265">
        <v>-7.0788309429150758</v>
      </c>
      <c r="BO265">
        <v>-5.30629089966979</v>
      </c>
    </row>
    <row r="266" spans="1:68">
      <c r="A266" t="s">
        <v>1299</v>
      </c>
      <c r="B266" t="s">
        <v>1300</v>
      </c>
      <c r="C266" t="s">
        <v>784</v>
      </c>
      <c r="D266" t="s">
        <v>785</v>
      </c>
      <c r="BB266">
        <v>5.0348541383989271</v>
      </c>
      <c r="BC266">
        <v>4.939950548977265</v>
      </c>
      <c r="BD266">
        <v>6.3198106867516088</v>
      </c>
      <c r="BE266">
        <v>1.712196242984092</v>
      </c>
      <c r="BF266">
        <v>5.3407995117233042</v>
      </c>
      <c r="BG266">
        <v>3.3488032931768856</v>
      </c>
      <c r="BH266">
        <v>5.9162324803594686</v>
      </c>
      <c r="BI266">
        <v>5.5717745349217012</v>
      </c>
      <c r="BJ266">
        <v>4.8256563560495636</v>
      </c>
      <c r="BK266">
        <v>3.4066309906022809</v>
      </c>
      <c r="BL266">
        <v>4.756800622107022</v>
      </c>
      <c r="BM266">
        <v>-5.3402751520229401</v>
      </c>
      <c r="BN266">
        <v>10.745656750892479</v>
      </c>
      <c r="BO266">
        <v>5.2186042128080885</v>
      </c>
    </row>
    <row r="267" spans="1:68">
      <c r="A267" t="s">
        <v>1301</v>
      </c>
      <c r="B267" t="s">
        <v>1302</v>
      </c>
      <c r="C267" t="s">
        <v>784</v>
      </c>
      <c r="D267" t="s">
        <v>785</v>
      </c>
      <c r="AJ267">
        <v>6.2934938853653364</v>
      </c>
      <c r="AK267">
        <v>8.2075981324294816</v>
      </c>
      <c r="AL267">
        <v>4.0019663521947422</v>
      </c>
      <c r="AM267">
        <v>6.7219491414384152</v>
      </c>
      <c r="AN267">
        <v>5.6693712932129472</v>
      </c>
      <c r="AO267">
        <v>4.6349673509918006</v>
      </c>
      <c r="AP267">
        <v>5.2311120287830875</v>
      </c>
      <c r="AQ267">
        <v>6.00669458925762</v>
      </c>
      <c r="AR267">
        <v>3.7755304849317071</v>
      </c>
      <c r="AS267">
        <v>6.1819156099054169</v>
      </c>
      <c r="AT267">
        <v>3.8036458781726736</v>
      </c>
      <c r="AU267">
        <v>3.9352314928387244</v>
      </c>
      <c r="AV267">
        <v>3.7473981993719576</v>
      </c>
      <c r="AW267">
        <v>3.9726963894190988</v>
      </c>
      <c r="AX267">
        <v>5.5917480667634294</v>
      </c>
      <c r="AY267">
        <v>3.1704093712567669</v>
      </c>
      <c r="AZ267">
        <v>3.3384279473355463</v>
      </c>
      <c r="BA267">
        <v>3.6475694743669322</v>
      </c>
      <c r="BB267">
        <v>3.86622951714142</v>
      </c>
      <c r="BC267">
        <v>7.7023070491292032</v>
      </c>
      <c r="BD267">
        <v>-12.71489690079683</v>
      </c>
      <c r="BE267">
        <v>2.3929902027391563</v>
      </c>
      <c r="BF267">
        <v>4.8235190816742488</v>
      </c>
      <c r="BG267">
        <v>-0.18869023850662359</v>
      </c>
      <c r="BH267">
        <v>-27.994546244955515</v>
      </c>
      <c r="BI267">
        <v>-9.3751238219768283</v>
      </c>
      <c r="BJ267">
        <v>-5.0717956417033179</v>
      </c>
      <c r="BK267">
        <v>0.75244759227039992</v>
      </c>
    </row>
    <row r="268" spans="1:68">
      <c r="A268" t="s">
        <v>1303</v>
      </c>
      <c r="B268" t="s">
        <v>1304</v>
      </c>
      <c r="C268" t="s">
        <v>784</v>
      </c>
      <c r="D268" t="s">
        <v>785</v>
      </c>
      <c r="F268">
        <v>3.8447341417408865</v>
      </c>
      <c r="G268">
        <v>6.1779308504274582</v>
      </c>
      <c r="H268">
        <v>7.3737092487722293</v>
      </c>
      <c r="I268">
        <v>7.9396086448067678</v>
      </c>
      <c r="J268">
        <v>6.1227980960144208</v>
      </c>
      <c r="K268">
        <v>4.4383860894688922</v>
      </c>
      <c r="L268">
        <v>7.196523065141065</v>
      </c>
      <c r="M268">
        <v>4.1533729829334618</v>
      </c>
      <c r="N268">
        <v>4.715902867222411</v>
      </c>
      <c r="O268">
        <v>5.2486614311829243</v>
      </c>
      <c r="P268">
        <v>4.2789344029698242</v>
      </c>
      <c r="Q268">
        <v>1.6548297088469894</v>
      </c>
      <c r="R268">
        <v>4.5719447463727079</v>
      </c>
      <c r="S268">
        <v>6.1111221037218826</v>
      </c>
      <c r="T268">
        <v>1.6954337793109886</v>
      </c>
      <c r="U268">
        <v>2.2498603291933392</v>
      </c>
      <c r="V268">
        <v>-9.3979116125581186E-2</v>
      </c>
      <c r="W268">
        <v>3.0144797791292319</v>
      </c>
      <c r="X268">
        <v>3.7905192640578207</v>
      </c>
      <c r="Y268">
        <v>6.62058342724157</v>
      </c>
      <c r="Z268">
        <v>5.360791059640448</v>
      </c>
      <c r="AA268">
        <v>-0.3834191083754348</v>
      </c>
      <c r="AB268">
        <v>-1.8465577459506335</v>
      </c>
      <c r="AC268">
        <v>5.0991516300147737</v>
      </c>
      <c r="AD268">
        <v>-1.2115408824038667</v>
      </c>
      <c r="AE268">
        <v>1.7849240165219271E-2</v>
      </c>
      <c r="AF268">
        <v>2.1007290205367468</v>
      </c>
      <c r="AG268">
        <v>4.2001096483818685</v>
      </c>
      <c r="AH268">
        <v>2.3947951153840563</v>
      </c>
      <c r="AI268">
        <v>-0.3177604265403744</v>
      </c>
      <c r="AJ268">
        <v>-1.0182449675445042</v>
      </c>
      <c r="AK268">
        <v>-2.1370328450052085</v>
      </c>
      <c r="AL268">
        <v>1.233557938647408</v>
      </c>
      <c r="AM268">
        <v>3.2000000029717199</v>
      </c>
      <c r="AN268">
        <v>3.1000000005441137</v>
      </c>
      <c r="AO268">
        <v>4.2999999972679177</v>
      </c>
      <c r="AP268">
        <v>2.6000000014634708</v>
      </c>
      <c r="AQ268">
        <v>0.50000000034143</v>
      </c>
      <c r="AR268">
        <v>2.3999999974633823</v>
      </c>
      <c r="AS268">
        <v>4.2000000006782585</v>
      </c>
      <c r="AT268">
        <v>2.7000000001910394</v>
      </c>
      <c r="AU268">
        <v>3.7003744040666788</v>
      </c>
      <c r="AV268">
        <v>2.94907546754213</v>
      </c>
      <c r="AW268">
        <v>4.5545599072177367</v>
      </c>
      <c r="AX268">
        <v>5.2770519729546663</v>
      </c>
      <c r="AY268">
        <v>5.6038064589588856</v>
      </c>
      <c r="AZ268">
        <v>5.3604740539416156</v>
      </c>
      <c r="BA268">
        <v>3.1910438863287993</v>
      </c>
      <c r="BB268">
        <v>-1.5380891352558308</v>
      </c>
      <c r="BC268">
        <v>3.0397328812795621</v>
      </c>
      <c r="BD268">
        <v>3.1685562785881842</v>
      </c>
      <c r="BE268">
        <v>2.396232384657452</v>
      </c>
      <c r="BF268">
        <v>2.4854680082658831</v>
      </c>
      <c r="BG268">
        <v>1.4138264522379274</v>
      </c>
      <c r="BH268">
        <v>1.3218622367822945</v>
      </c>
      <c r="BI268">
        <v>0.66455230785811636</v>
      </c>
      <c r="BJ268">
        <v>1.1579469514764611</v>
      </c>
      <c r="BK268">
        <v>1.5567838465237998</v>
      </c>
      <c r="BL268">
        <v>0.25993557707082005</v>
      </c>
      <c r="BM268">
        <v>-5.9633581828399684</v>
      </c>
      <c r="BN268">
        <v>4.7030620638949898</v>
      </c>
      <c r="BO268">
        <v>1.91040616938092</v>
      </c>
    </row>
    <row r="269" spans="1:68">
      <c r="A269" t="s">
        <v>1305</v>
      </c>
      <c r="B269" t="s">
        <v>1306</v>
      </c>
      <c r="C269" t="s">
        <v>784</v>
      </c>
      <c r="D269" t="s">
        <v>785</v>
      </c>
      <c r="F269">
        <v>1.3613819914748859</v>
      </c>
      <c r="G269">
        <v>-2.4908394745487072</v>
      </c>
      <c r="H269">
        <v>3.2723928927252359</v>
      </c>
      <c r="I269">
        <v>12.214048017932271</v>
      </c>
      <c r="J269">
        <v>16.647455963212579</v>
      </c>
      <c r="K269">
        <v>-5.5703098086046623</v>
      </c>
      <c r="L269">
        <v>7.919696511998751</v>
      </c>
      <c r="M269">
        <v>1.2483299822279719</v>
      </c>
      <c r="N269">
        <v>-0.43691582308821353</v>
      </c>
      <c r="O269">
        <v>4.7971129031889603</v>
      </c>
      <c r="P269">
        <v>-8.6039550867440084E-2</v>
      </c>
      <c r="Q269">
        <v>9.2088651423127885</v>
      </c>
      <c r="R269">
        <v>-0.96204875642632715</v>
      </c>
      <c r="S269">
        <v>6.4281585489209618</v>
      </c>
      <c r="T269">
        <v>-2.2693289241895229</v>
      </c>
      <c r="U269">
        <v>6.2209752670717506</v>
      </c>
      <c r="V269">
        <v>-4.564236174365405</v>
      </c>
      <c r="W269">
        <v>0.55376384424840808</v>
      </c>
      <c r="X269">
        <v>-3.0239310312180265</v>
      </c>
      <c r="Y269">
        <v>3.0356223506610576</v>
      </c>
      <c r="Z269">
        <v>6.1679574065058915</v>
      </c>
      <c r="AA269">
        <v>-2.8127826286889075</v>
      </c>
      <c r="AB269">
        <v>-1.9666892976213433</v>
      </c>
      <c r="AC269">
        <v>-0.33683489925601862</v>
      </c>
      <c r="AD269">
        <v>1.6153103675931106</v>
      </c>
      <c r="AE269">
        <v>0.72389395592391281</v>
      </c>
      <c r="AF269">
        <v>2.6756617134113299</v>
      </c>
      <c r="AG269">
        <v>6.280749008976926</v>
      </c>
      <c r="AH269">
        <v>-1.023501788698681</v>
      </c>
      <c r="AI269">
        <v>-0.48107202778166425</v>
      </c>
      <c r="AJ269">
        <v>-3.6133383882329895E-2</v>
      </c>
      <c r="AK269">
        <v>-1.7309221735256557</v>
      </c>
      <c r="AL269">
        <v>6.7972740490711772</v>
      </c>
      <c r="AM269">
        <v>-8.6254419523127694</v>
      </c>
      <c r="AN269">
        <v>2.8976688934169772</v>
      </c>
      <c r="AO269">
        <v>6.218546488942934</v>
      </c>
      <c r="AP269">
        <v>3.8140074971835531</v>
      </c>
      <c r="AQ269">
        <v>-0.38574614579034971</v>
      </c>
      <c r="AR269">
        <v>4.650189746374096</v>
      </c>
      <c r="AS269">
        <v>3.8973229434189562</v>
      </c>
      <c r="AT269">
        <v>5.3168682741841877</v>
      </c>
      <c r="AU269">
        <v>4.5060142803260419</v>
      </c>
      <c r="AV269">
        <v>6.9449739822122325</v>
      </c>
      <c r="AW269">
        <v>7.032395115152184</v>
      </c>
      <c r="AX269">
        <v>7.2355990065554323</v>
      </c>
      <c r="AY269">
        <v>7.9036944448007915</v>
      </c>
      <c r="AZ269">
        <v>8.3524362444740632</v>
      </c>
      <c r="BA269">
        <v>7.7738958154236286</v>
      </c>
      <c r="BB269">
        <v>9.2203484058663037</v>
      </c>
      <c r="BC269">
        <v>10.298223324121267</v>
      </c>
      <c r="BD269">
        <v>5.564602336707523</v>
      </c>
      <c r="BE269">
        <v>7.5975932105319117</v>
      </c>
      <c r="BF269">
        <v>5.057231739797345</v>
      </c>
      <c r="BG269">
        <v>4.6979923625298596</v>
      </c>
      <c r="BH269">
        <v>2.9203751121796131</v>
      </c>
      <c r="BI269">
        <v>3.7766791462673126</v>
      </c>
      <c r="BJ269">
        <v>3.5043360955868224</v>
      </c>
      <c r="BK269">
        <v>4.0344938966716484</v>
      </c>
      <c r="BL269">
        <v>1.4413060260378501</v>
      </c>
      <c r="BM269">
        <v>-2.7850550654516724</v>
      </c>
      <c r="BN269">
        <v>6.2349220419005889</v>
      </c>
      <c r="BO269">
        <v>5.2496222981663863</v>
      </c>
    </row>
    <row r="270" spans="1:68">
      <c r="A270" t="s">
        <v>1307</v>
      </c>
      <c r="B270" t="s">
        <v>1308</v>
      </c>
      <c r="C270" t="s">
        <v>784</v>
      </c>
      <c r="D270" t="s">
        <v>785</v>
      </c>
      <c r="F270">
        <v>6.3161572678227742</v>
      </c>
      <c r="G270">
        <v>1.4344708878062846</v>
      </c>
      <c r="H270">
        <v>6.2443445079049837</v>
      </c>
      <c r="I270">
        <v>-1.1061718594435774</v>
      </c>
      <c r="J270">
        <v>4.91057058723419</v>
      </c>
      <c r="K270">
        <v>1.5231300267618479</v>
      </c>
      <c r="L270">
        <v>8.3670089288249301</v>
      </c>
      <c r="M270">
        <v>1.9701349693312267</v>
      </c>
      <c r="N270">
        <v>12.428235836086742</v>
      </c>
      <c r="O270">
        <v>22.565150838617882</v>
      </c>
      <c r="P270">
        <v>8.9175866423527168</v>
      </c>
      <c r="Q270">
        <v>8.3297747273866349</v>
      </c>
      <c r="R270">
        <v>2.6047146971927191</v>
      </c>
      <c r="S270">
        <v>6.6251536176150267</v>
      </c>
      <c r="T270">
        <v>-1.9312232386643586</v>
      </c>
      <c r="U270">
        <v>0.46483890518531723</v>
      </c>
      <c r="V270">
        <v>-6.8607031933501332</v>
      </c>
      <c r="W270">
        <v>-2.7069224845759834</v>
      </c>
      <c r="X270">
        <v>3.2970353989752397</v>
      </c>
      <c r="Y270">
        <v>14.420683908672061</v>
      </c>
      <c r="Z270">
        <v>12.525424852158224</v>
      </c>
      <c r="AA270">
        <v>2.6342971467197884</v>
      </c>
      <c r="AB270">
        <v>1.585305461878292</v>
      </c>
      <c r="AC270">
        <v>-1.9073601098144763</v>
      </c>
      <c r="AD270">
        <v>6.9443877676094559</v>
      </c>
      <c r="AE270">
        <v>2.0990291250721356</v>
      </c>
      <c r="AF270">
        <v>1.1507372031593945</v>
      </c>
      <c r="AG270">
        <v>7.5523745101544648</v>
      </c>
      <c r="AH270">
        <v>5.1997664442376959</v>
      </c>
      <c r="AI270">
        <v>6.9885529325352422</v>
      </c>
      <c r="AJ270">
        <v>5.5317823739553518</v>
      </c>
      <c r="AK270">
        <v>-9.0155700749896397</v>
      </c>
      <c r="AL270">
        <v>1.0514586472234839</v>
      </c>
      <c r="AM270">
        <v>9.235198825207533</v>
      </c>
      <c r="AN270">
        <v>0.15802568718044085</v>
      </c>
      <c r="AO270">
        <v>10.360696766262606</v>
      </c>
      <c r="AP270">
        <v>2.6805941787162908</v>
      </c>
      <c r="AQ270">
        <v>2.8852117961966286</v>
      </c>
      <c r="AR270">
        <v>-0.81782103304510656</v>
      </c>
      <c r="AS270">
        <v>-3.0591897491863449</v>
      </c>
      <c r="AT270">
        <v>1.4396153957673619</v>
      </c>
      <c r="AU270">
        <v>-8.8940236314130914</v>
      </c>
      <c r="AV270">
        <v>-16.995074727662242</v>
      </c>
      <c r="AW270">
        <v>-5.807538022739493</v>
      </c>
      <c r="AX270">
        <v>-5.7110837065035298</v>
      </c>
      <c r="AY270">
        <v>-3.4614951878137816</v>
      </c>
      <c r="AZ270">
        <v>-3.6533268353550596</v>
      </c>
      <c r="BA270">
        <v>-17.668946330105427</v>
      </c>
      <c r="BB270">
        <v>12.019559974842281</v>
      </c>
      <c r="BC270">
        <v>21.452060918497054</v>
      </c>
      <c r="BD270">
        <v>14.620207255198665</v>
      </c>
      <c r="BE270">
        <v>15.744877080337645</v>
      </c>
      <c r="BF270">
        <v>3.1967308868620989</v>
      </c>
      <c r="BG270">
        <v>1.4845426216219266</v>
      </c>
      <c r="BH270">
        <v>2.0236499959287073</v>
      </c>
      <c r="BI270">
        <v>0.90095539630850396</v>
      </c>
      <c r="BJ270">
        <v>4.0802639033305326</v>
      </c>
      <c r="BK270">
        <v>5.0098667833022148</v>
      </c>
      <c r="BL270">
        <v>-6.3324464255931332</v>
      </c>
      <c r="BM270">
        <v>-7.8169506184682831</v>
      </c>
      <c r="BN270">
        <v>8.4680169089425448</v>
      </c>
      <c r="BO270">
        <v>6.5223752874079395</v>
      </c>
    </row>
    <row r="272" spans="1:68">
      <c r="F272" s="49">
        <f t="shared" ref="F272:AG272" si="0">AVERAGE(F5:F270)</f>
        <v>3.3075104487083937</v>
      </c>
      <c r="G272" s="49">
        <f t="shared" si="0"/>
        <v>5.0508595426127227</v>
      </c>
      <c r="H272" s="49">
        <f t="shared" si="0"/>
        <v>4.9477056413177021</v>
      </c>
      <c r="I272" s="49">
        <f t="shared" si="0"/>
        <v>6.2353267006792681</v>
      </c>
      <c r="J272" s="49">
        <f t="shared" si="0"/>
        <v>5.3430240543819068</v>
      </c>
      <c r="K272" s="49">
        <f t="shared" si="0"/>
        <v>4.5633612793190368</v>
      </c>
      <c r="L272" s="49">
        <f t="shared" si="0"/>
        <v>4.0813472820378047</v>
      </c>
      <c r="M272" s="49">
        <f t="shared" si="0"/>
        <v>6.0034140215267842</v>
      </c>
      <c r="N272" s="49">
        <f t="shared" si="0"/>
        <v>6.8343792492546944</v>
      </c>
      <c r="O272" s="49">
        <f t="shared" si="0"/>
        <v>7.5112548519219811</v>
      </c>
      <c r="P272" s="49">
        <f t="shared" si="0"/>
        <v>5.3482995239293949</v>
      </c>
      <c r="Q272" s="49">
        <f t="shared" si="0"/>
        <v>5.4311239008330512</v>
      </c>
      <c r="R272" s="49">
        <f t="shared" si="0"/>
        <v>5.1095955265890947</v>
      </c>
      <c r="S272" s="49">
        <f t="shared" si="0"/>
        <v>5.4182315098784457</v>
      </c>
      <c r="T272" s="49">
        <f t="shared" si="0"/>
        <v>2.8699021649865246</v>
      </c>
      <c r="U272" s="49">
        <f t="shared" si="0"/>
        <v>6.253756855150681</v>
      </c>
      <c r="V272" s="49">
        <f t="shared" si="0"/>
        <v>4.6584784657341309</v>
      </c>
      <c r="W272" s="49">
        <f t="shared" si="0"/>
        <v>4.3116675155570459</v>
      </c>
      <c r="X272" s="49">
        <f t="shared" si="0"/>
        <v>4.2042446243916229</v>
      </c>
      <c r="Y272" s="49">
        <f t="shared" si="0"/>
        <v>3.2446076167175106</v>
      </c>
      <c r="Z272" s="49">
        <f t="shared" si="0"/>
        <v>2.8888061213330904</v>
      </c>
      <c r="AA272" s="49">
        <f t="shared" si="0"/>
        <v>1.4336806262910324</v>
      </c>
      <c r="AB272" s="49">
        <f t="shared" si="0"/>
        <v>1.4087945318236461</v>
      </c>
      <c r="AC272" s="49">
        <f t="shared" si="0"/>
        <v>3.2409612266892442</v>
      </c>
      <c r="AD272" s="49">
        <f t="shared" si="0"/>
        <v>3.0390834955622434</v>
      </c>
      <c r="AE272" s="49">
        <f t="shared" si="0"/>
        <v>3.5987383680752201</v>
      </c>
      <c r="AF272" s="49">
        <f t="shared" si="0"/>
        <v>3.7658072182464979</v>
      </c>
      <c r="AG272">
        <f t="shared" si="0"/>
        <v>4.5520180916215782</v>
      </c>
      <c r="AH272">
        <f>AVERAGE(AH5:AH270)</f>
        <v>3.0598976122270338</v>
      </c>
      <c r="AI272">
        <f t="shared" ref="AI272:BO272" si="1">AVERAGE(AI5:AI270)</f>
        <v>3.3978111734907239</v>
      </c>
      <c r="AJ272">
        <f t="shared" si="1"/>
        <v>1.4210886627647741</v>
      </c>
      <c r="AK272">
        <f t="shared" si="1"/>
        <v>1.6587606802322499</v>
      </c>
      <c r="AL272">
        <f t="shared" si="1"/>
        <v>1.9826945606263704</v>
      </c>
      <c r="AM272">
        <f t="shared" si="1"/>
        <v>2.2399155491025216</v>
      </c>
      <c r="AN272">
        <f t="shared" si="1"/>
        <v>3.9060763534713665</v>
      </c>
      <c r="AO272">
        <f t="shared" si="1"/>
        <v>4.8324028077453072</v>
      </c>
      <c r="AP272">
        <f t="shared" si="1"/>
        <v>4.9975017624544504</v>
      </c>
      <c r="AQ272">
        <f t="shared" si="1"/>
        <v>3.5478364311490136</v>
      </c>
      <c r="AR272">
        <f t="shared" si="1"/>
        <v>3.2918963961799919</v>
      </c>
      <c r="AS272">
        <f t="shared" si="1"/>
        <v>4.363544302712012</v>
      </c>
      <c r="AT272">
        <f t="shared" si="1"/>
        <v>3.3338763537816951</v>
      </c>
      <c r="AU272">
        <f t="shared" si="1"/>
        <v>3.3491314284135876</v>
      </c>
      <c r="AV272">
        <f t="shared" si="1"/>
        <v>3.9474052240014834</v>
      </c>
      <c r="AW272">
        <f t="shared" si="1"/>
        <v>5.9700292445080008</v>
      </c>
      <c r="AX272">
        <f t="shared" si="1"/>
        <v>5.0355052803021101</v>
      </c>
      <c r="AY272">
        <f t="shared" si="1"/>
        <v>5.7365835795239448</v>
      </c>
      <c r="AZ272">
        <f t="shared" si="1"/>
        <v>5.6998247322707565</v>
      </c>
      <c r="BA272">
        <f t="shared" si="1"/>
        <v>3.9947676187107679</v>
      </c>
      <c r="BB272">
        <f t="shared" si="1"/>
        <v>6.755977493596535E-2</v>
      </c>
      <c r="BC272">
        <f t="shared" si="1"/>
        <v>4.4426747692156061</v>
      </c>
      <c r="BD272">
        <f t="shared" si="1"/>
        <v>3.632145286377003</v>
      </c>
      <c r="BE272">
        <f t="shared" si="1"/>
        <v>3.1794944441774065</v>
      </c>
      <c r="BF272">
        <f t="shared" si="1"/>
        <v>3.1103759089996275</v>
      </c>
      <c r="BG272">
        <f t="shared" si="1"/>
        <v>3.2985416698932135</v>
      </c>
      <c r="BH272">
        <f t="shared" si="1"/>
        <v>2.6872403759280026</v>
      </c>
      <c r="BI272">
        <f t="shared" si="1"/>
        <v>3.0645315796137216</v>
      </c>
      <c r="BJ272">
        <f t="shared" si="1"/>
        <v>3.2052500907542418</v>
      </c>
      <c r="BK272">
        <f t="shared" si="1"/>
        <v>3.0726088312729027</v>
      </c>
      <c r="BL272">
        <f t="shared" si="1"/>
        <v>2.7976155419285913</v>
      </c>
      <c r="BM272">
        <f t="shared" si="1"/>
        <v>-4.7900042388115844</v>
      </c>
      <c r="BN272">
        <f t="shared" si="1"/>
        <v>5.4489383166729244</v>
      </c>
      <c r="BO272">
        <f t="shared" si="1"/>
        <v>4.2253188277372837</v>
      </c>
      <c r="BP272" s="18" t="s">
        <v>13</v>
      </c>
    </row>
    <row r="274" spans="1:6">
      <c r="D274" t="s">
        <v>1309</v>
      </c>
      <c r="F274" s="71">
        <f>AVERAGE(F272:BO272)/100</f>
        <v>3.8365293772182826E-2</v>
      </c>
    </row>
    <row r="275" spans="1:6">
      <c r="D275" t="s">
        <v>1310</v>
      </c>
      <c r="F275" s="71">
        <f>AVERAGE(AH272:BO272)/100</f>
        <v>3.3296717921283261E-2</v>
      </c>
    </row>
    <row r="280" spans="1:6">
      <c r="A280" t="s">
        <v>1311</v>
      </c>
    </row>
    <row r="281" spans="1:6">
      <c r="A281" t="s">
        <v>1312</v>
      </c>
    </row>
  </sheetData>
  <pageMargins left="0.7" right="0.7" top="0.75" bottom="0.75" header="0.3" footer="0.3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B3E93-8C43-48ED-B3ED-CBAEE6B9A128}">
  <dimension ref="A1"/>
  <sheetViews>
    <sheetView showGridLines="0" view="pageBreakPreview" zoomScale="60" zoomScaleNormal="100" workbookViewId="0">
      <selection activeCell="R31" sqref="R31"/>
    </sheetView>
  </sheetViews>
  <sheetFormatPr baseColWidth="10" defaultColWidth="8.83203125" defaultRowHeight="15"/>
  <sheetData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54EA2-ADE0-4028-9EC3-77F4986D237F}">
  <dimension ref="B1:J25"/>
  <sheetViews>
    <sheetView showGridLines="0" workbookViewId="0">
      <selection activeCell="A4" sqref="A4"/>
    </sheetView>
  </sheetViews>
  <sheetFormatPr baseColWidth="10" defaultColWidth="8.6640625" defaultRowHeight="15"/>
  <cols>
    <col min="1" max="1" width="3.6640625" customWidth="1"/>
    <col min="2" max="2" width="20.6640625" bestFit="1" customWidth="1"/>
    <col min="3" max="3" width="12.5" customWidth="1"/>
    <col min="6" max="6" width="10.33203125" bestFit="1" customWidth="1"/>
    <col min="16" max="16" width="10.33203125" bestFit="1" customWidth="1"/>
  </cols>
  <sheetData>
    <row r="1" spans="2:10" ht="5" customHeight="1"/>
    <row r="2" spans="2:10" s="4" customFormat="1" ht="19">
      <c r="B2" s="4" t="s">
        <v>1335</v>
      </c>
    </row>
    <row r="4" spans="2:10">
      <c r="B4" s="87" t="s">
        <v>1332</v>
      </c>
      <c r="C4" s="87"/>
      <c r="D4" s="87"/>
      <c r="E4" s="87"/>
      <c r="F4" s="87"/>
      <c r="G4" s="87"/>
      <c r="H4" s="87"/>
      <c r="I4" s="87"/>
      <c r="J4" s="87"/>
    </row>
    <row r="5" spans="2:10">
      <c r="B5" s="76"/>
      <c r="C5" s="76"/>
      <c r="D5" s="76"/>
      <c r="E5" s="76"/>
      <c r="F5" s="76"/>
      <c r="G5" s="76"/>
      <c r="H5" s="76"/>
      <c r="I5" s="76"/>
      <c r="J5" s="76"/>
    </row>
    <row r="6" spans="2:10">
      <c r="B6" s="79" t="s">
        <v>1333</v>
      </c>
      <c r="C6" s="5">
        <v>1991</v>
      </c>
      <c r="D6" s="5">
        <v>1992</v>
      </c>
      <c r="E6" s="5">
        <v>1993</v>
      </c>
      <c r="F6" s="5">
        <v>1994</v>
      </c>
      <c r="G6" s="5">
        <v>1995</v>
      </c>
      <c r="H6" s="5">
        <v>1996</v>
      </c>
      <c r="I6" s="5">
        <v>1997</v>
      </c>
      <c r="J6" s="5">
        <v>1998</v>
      </c>
    </row>
    <row r="7" spans="2:10">
      <c r="B7" s="76" t="s">
        <v>142</v>
      </c>
      <c r="C7" s="76">
        <v>1</v>
      </c>
      <c r="D7" s="76">
        <v>0.03</v>
      </c>
      <c r="E7" s="76">
        <v>0.03</v>
      </c>
      <c r="F7" s="76">
        <v>0.03</v>
      </c>
      <c r="G7" s="76">
        <v>0.03</v>
      </c>
      <c r="H7" s="76">
        <v>0.03</v>
      </c>
      <c r="I7" s="76">
        <v>0.03</v>
      </c>
      <c r="J7" s="76">
        <v>0.04</v>
      </c>
    </row>
    <row r="8" spans="2:10">
      <c r="B8" s="76" t="s">
        <v>144</v>
      </c>
      <c r="C8" s="76">
        <v>0.17</v>
      </c>
      <c r="D8" s="76">
        <v>0.17</v>
      </c>
      <c r="E8" s="76">
        <v>0.17</v>
      </c>
      <c r="F8" s="76">
        <v>0.17</v>
      </c>
      <c r="G8" s="76">
        <v>0.17</v>
      </c>
      <c r="H8" s="76">
        <v>0.17</v>
      </c>
      <c r="I8" s="76">
        <v>0.17</v>
      </c>
      <c r="J8" s="76">
        <v>0.17</v>
      </c>
    </row>
    <row r="9" spans="2:10">
      <c r="B9" s="76" t="s">
        <v>145</v>
      </c>
      <c r="C9" s="76">
        <v>1.69</v>
      </c>
      <c r="D9" s="76">
        <v>3.2</v>
      </c>
      <c r="E9" s="76">
        <v>2.83</v>
      </c>
      <c r="F9" s="76">
        <v>2.38</v>
      </c>
      <c r="G9" s="76">
        <v>1.87</v>
      </c>
      <c r="H9" s="76">
        <v>1.25</v>
      </c>
      <c r="I9" s="76">
        <v>0.52</v>
      </c>
      <c r="J9" s="76">
        <v>0</v>
      </c>
    </row>
    <row r="10" spans="2:10">
      <c r="B10" s="76" t="s">
        <v>146</v>
      </c>
      <c r="C10" s="76">
        <v>0.99</v>
      </c>
      <c r="D10" s="76">
        <v>1.99</v>
      </c>
      <c r="E10" s="76">
        <v>1.99</v>
      </c>
      <c r="F10" s="76">
        <v>1.99</v>
      </c>
      <c r="G10" s="76">
        <v>1.99</v>
      </c>
      <c r="H10" s="76">
        <v>1.99</v>
      </c>
      <c r="I10" s="76">
        <v>1.99</v>
      </c>
      <c r="J10" s="76">
        <v>1.99</v>
      </c>
    </row>
    <row r="11" spans="2:10">
      <c r="B11" s="76" t="s">
        <v>147</v>
      </c>
      <c r="C11" s="76">
        <v>0.47</v>
      </c>
      <c r="D11" s="76">
        <v>0.94</v>
      </c>
      <c r="E11" s="76">
        <v>0.94</v>
      </c>
      <c r="F11" s="76">
        <v>0.94</v>
      </c>
      <c r="G11" s="76">
        <v>0.94</v>
      </c>
      <c r="H11" s="76">
        <v>0.94</v>
      </c>
      <c r="I11" s="76">
        <v>0.94</v>
      </c>
      <c r="J11" s="76">
        <v>0.94</v>
      </c>
    </row>
    <row r="12" spans="2:10">
      <c r="B12" s="76"/>
      <c r="C12" s="76"/>
      <c r="D12" s="76"/>
      <c r="E12" s="76"/>
      <c r="F12" s="76"/>
      <c r="G12" s="76"/>
      <c r="H12" s="76"/>
      <c r="I12" s="76"/>
      <c r="J12" s="76"/>
    </row>
    <row r="13" spans="2:10">
      <c r="B13" s="79" t="s">
        <v>1334</v>
      </c>
      <c r="C13" s="79"/>
      <c r="D13" s="79"/>
      <c r="E13" s="79"/>
      <c r="F13" s="79"/>
      <c r="G13" s="79"/>
      <c r="H13" s="79"/>
      <c r="I13" s="79"/>
      <c r="J13" s="79"/>
    </row>
    <row r="14" spans="2:10">
      <c r="B14" s="76" t="s">
        <v>130</v>
      </c>
      <c r="C14" s="76">
        <v>0.28999999999999998</v>
      </c>
      <c r="D14" s="76">
        <v>0.28999999999999998</v>
      </c>
      <c r="E14" s="76">
        <v>0.28999999999999998</v>
      </c>
      <c r="F14" s="76">
        <v>0.28999999999999998</v>
      </c>
      <c r="G14" s="76">
        <v>0.28999999999999998</v>
      </c>
      <c r="H14" s="76">
        <v>0.28999999999999998</v>
      </c>
      <c r="I14" s="76">
        <v>0.28999999999999998</v>
      </c>
      <c r="J14" s="76">
        <v>0.28999999999999998</v>
      </c>
    </row>
    <row r="15" spans="2:10">
      <c r="B15" s="76" t="s">
        <v>131</v>
      </c>
      <c r="C15" s="76">
        <v>1.7</v>
      </c>
      <c r="D15" s="76">
        <v>1.7</v>
      </c>
      <c r="E15" s="76">
        <v>1.7</v>
      </c>
      <c r="F15" s="76">
        <v>1.7</v>
      </c>
      <c r="G15" s="76">
        <v>1.7</v>
      </c>
      <c r="H15" s="76">
        <v>1.7</v>
      </c>
      <c r="I15" s="76">
        <v>1.7</v>
      </c>
      <c r="J15" s="76">
        <v>1.7</v>
      </c>
    </row>
    <row r="16" spans="2:10">
      <c r="B16" s="76" t="s">
        <v>132</v>
      </c>
      <c r="C16" s="76">
        <v>30</v>
      </c>
      <c r="D16" s="76">
        <v>26</v>
      </c>
      <c r="E16" s="76">
        <v>22</v>
      </c>
      <c r="F16" s="76">
        <v>17.5</v>
      </c>
      <c r="G16" s="76">
        <v>12</v>
      </c>
      <c r="H16" s="76">
        <v>5.5</v>
      </c>
      <c r="I16" s="76">
        <v>0</v>
      </c>
      <c r="J16" s="76">
        <v>0</v>
      </c>
    </row>
    <row r="17" spans="2:10">
      <c r="B17" s="76" t="s">
        <v>133</v>
      </c>
      <c r="C17" s="76">
        <v>15</v>
      </c>
      <c r="D17" s="76">
        <v>15</v>
      </c>
      <c r="E17" s="76">
        <v>15</v>
      </c>
      <c r="F17" s="76">
        <v>15</v>
      </c>
      <c r="G17" s="76">
        <v>15</v>
      </c>
      <c r="H17" s="76">
        <v>15</v>
      </c>
      <c r="I17" s="76">
        <v>15</v>
      </c>
      <c r="J17" s="76">
        <v>0</v>
      </c>
    </row>
    <row r="18" spans="2:10">
      <c r="B18" s="76" t="s">
        <v>134</v>
      </c>
      <c r="C18" s="76">
        <v>11.47</v>
      </c>
      <c r="D18" s="76">
        <v>12.41</v>
      </c>
      <c r="E18" s="76">
        <v>12.88</v>
      </c>
      <c r="F18" s="76">
        <v>12.88</v>
      </c>
      <c r="G18" s="76">
        <v>12.88</v>
      </c>
      <c r="H18" s="76">
        <v>12.88</v>
      </c>
      <c r="I18" s="76">
        <v>12.88</v>
      </c>
      <c r="J18" s="76">
        <v>12.88</v>
      </c>
    </row>
    <row r="19" spans="2:10">
      <c r="B19" s="76"/>
      <c r="C19" s="76"/>
      <c r="D19" s="76"/>
      <c r="E19" s="76"/>
      <c r="F19" s="76"/>
      <c r="G19" s="76"/>
      <c r="H19" s="76"/>
      <c r="I19" s="76"/>
      <c r="J19" s="76"/>
    </row>
    <row r="20" spans="2:10">
      <c r="B20" s="79" t="s">
        <v>1332</v>
      </c>
      <c r="C20" s="79"/>
      <c r="D20" s="79"/>
      <c r="E20" s="79"/>
      <c r="F20" s="79"/>
      <c r="G20" s="79"/>
      <c r="H20" s="79"/>
      <c r="I20" s="79"/>
      <c r="J20" s="79"/>
    </row>
    <row r="21" spans="2:10">
      <c r="B21" s="76" t="s">
        <v>130</v>
      </c>
      <c r="C21" s="81">
        <f t="shared" ref="C21:J25" si="0">C7/C14</f>
        <v>3.4482758620689657</v>
      </c>
      <c r="D21" s="81">
        <f t="shared" si="0"/>
        <v>0.10344827586206896</v>
      </c>
      <c r="E21" s="81">
        <f t="shared" si="0"/>
        <v>0.10344827586206896</v>
      </c>
      <c r="F21" s="81">
        <f t="shared" si="0"/>
        <v>0.10344827586206896</v>
      </c>
      <c r="G21" s="81">
        <f t="shared" si="0"/>
        <v>0.10344827586206896</v>
      </c>
      <c r="H21" s="81">
        <f t="shared" si="0"/>
        <v>0.10344827586206896</v>
      </c>
      <c r="I21" s="81">
        <f t="shared" si="0"/>
        <v>0.10344827586206896</v>
      </c>
      <c r="J21" s="81">
        <f t="shared" si="0"/>
        <v>0.13793103448275865</v>
      </c>
    </row>
    <row r="22" spans="2:10">
      <c r="B22" s="76" t="s">
        <v>131</v>
      </c>
      <c r="C22" s="81">
        <f t="shared" si="0"/>
        <v>0.1</v>
      </c>
      <c r="D22" s="81">
        <f t="shared" si="0"/>
        <v>0.1</v>
      </c>
      <c r="E22" s="81">
        <f t="shared" si="0"/>
        <v>0.1</v>
      </c>
      <c r="F22" s="81">
        <f t="shared" si="0"/>
        <v>0.1</v>
      </c>
      <c r="G22" s="81">
        <f t="shared" si="0"/>
        <v>0.1</v>
      </c>
      <c r="H22" s="81">
        <f t="shared" si="0"/>
        <v>0.1</v>
      </c>
      <c r="I22" s="81">
        <f t="shared" si="0"/>
        <v>0.1</v>
      </c>
      <c r="J22" s="81">
        <f t="shared" si="0"/>
        <v>0.1</v>
      </c>
    </row>
    <row r="23" spans="2:10">
      <c r="B23" s="76" t="s">
        <v>132</v>
      </c>
      <c r="C23" s="81">
        <f t="shared" si="0"/>
        <v>5.6333333333333332E-2</v>
      </c>
      <c r="D23" s="81">
        <f t="shared" si="0"/>
        <v>0.12307692307692308</v>
      </c>
      <c r="E23" s="81">
        <f t="shared" si="0"/>
        <v>0.12863636363636363</v>
      </c>
      <c r="F23" s="81">
        <f t="shared" si="0"/>
        <v>0.13599999999999998</v>
      </c>
      <c r="G23" s="81">
        <f t="shared" si="0"/>
        <v>0.15583333333333335</v>
      </c>
      <c r="H23" s="81">
        <f t="shared" si="0"/>
        <v>0.22727272727272727</v>
      </c>
      <c r="I23" s="81" t="e">
        <f t="shared" si="0"/>
        <v>#DIV/0!</v>
      </c>
      <c r="J23" s="81" t="e">
        <f t="shared" si="0"/>
        <v>#DIV/0!</v>
      </c>
    </row>
    <row r="24" spans="2:10">
      <c r="B24" s="76" t="s">
        <v>133</v>
      </c>
      <c r="C24" s="81">
        <f t="shared" si="0"/>
        <v>6.6000000000000003E-2</v>
      </c>
      <c r="D24" s="81">
        <f t="shared" si="0"/>
        <v>0.13266666666666665</v>
      </c>
      <c r="E24" s="81">
        <f t="shared" si="0"/>
        <v>0.13266666666666665</v>
      </c>
      <c r="F24" s="81">
        <f t="shared" si="0"/>
        <v>0.13266666666666665</v>
      </c>
      <c r="G24" s="81">
        <f t="shared" si="0"/>
        <v>0.13266666666666665</v>
      </c>
      <c r="H24" s="81">
        <f t="shared" si="0"/>
        <v>0.13266666666666665</v>
      </c>
      <c r="I24" s="81">
        <f t="shared" si="0"/>
        <v>0.13266666666666665</v>
      </c>
      <c r="J24" s="81" t="e">
        <f t="shared" si="0"/>
        <v>#DIV/0!</v>
      </c>
    </row>
    <row r="25" spans="2:10">
      <c r="B25" s="76" t="s">
        <v>134</v>
      </c>
      <c r="C25" s="81">
        <f t="shared" si="0"/>
        <v>4.0976460331299036E-2</v>
      </c>
      <c r="D25" s="81">
        <f t="shared" si="0"/>
        <v>7.5745366639806605E-2</v>
      </c>
      <c r="E25" s="81">
        <f t="shared" si="0"/>
        <v>7.2981366459627314E-2</v>
      </c>
      <c r="F25" s="81">
        <f t="shared" si="0"/>
        <v>7.2981366459627314E-2</v>
      </c>
      <c r="G25" s="81">
        <f t="shared" si="0"/>
        <v>7.2981366459627314E-2</v>
      </c>
      <c r="H25" s="81">
        <f t="shared" si="0"/>
        <v>7.2981366459627314E-2</v>
      </c>
      <c r="I25" s="81">
        <f t="shared" si="0"/>
        <v>7.2981366459627314E-2</v>
      </c>
      <c r="J25" s="81">
        <f t="shared" si="0"/>
        <v>7.2981366459627314E-2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7C31C-EBD0-49CA-9FFD-011ADC00E0CD}">
  <dimension ref="A1:Y81"/>
  <sheetViews>
    <sheetView showGridLines="0" workbookViewId="0">
      <selection activeCell="F15" sqref="F15"/>
    </sheetView>
  </sheetViews>
  <sheetFormatPr baseColWidth="10" defaultColWidth="8.6640625" defaultRowHeight="15"/>
  <cols>
    <col min="1" max="1" width="3.6640625" style="182" customWidth="1"/>
    <col min="2" max="2" width="20.6640625" style="182" bestFit="1" customWidth="1"/>
    <col min="3" max="3" width="12.5" style="182" customWidth="1"/>
    <col min="4" max="4" width="8.6640625" style="182"/>
    <col min="5" max="5" width="20.33203125" style="182" bestFit="1" customWidth="1"/>
    <col min="6" max="6" width="10.33203125" style="182" bestFit="1" customWidth="1"/>
    <col min="7" max="15" width="8.6640625" style="182"/>
    <col min="16" max="16" width="10.33203125" style="182" bestFit="1" customWidth="1"/>
    <col min="17" max="16384" width="8.6640625" style="182"/>
  </cols>
  <sheetData>
    <row r="1" spans="1:3" ht="5" customHeight="1"/>
    <row r="2" spans="1:3" s="183" customFormat="1" ht="19">
      <c r="B2" s="183" t="s">
        <v>0</v>
      </c>
    </row>
    <row r="5" spans="1:3">
      <c r="A5" s="182" t="s">
        <v>13</v>
      </c>
      <c r="B5" s="184" t="s">
        <v>1</v>
      </c>
    </row>
    <row r="7" spans="1:3">
      <c r="B7" s="182" t="s">
        <v>3</v>
      </c>
      <c r="C7" s="185">
        <v>0.04</v>
      </c>
    </row>
    <row r="12" spans="1:3">
      <c r="A12" s="182" t="s">
        <v>13</v>
      </c>
      <c r="B12" s="186" t="s">
        <v>11</v>
      </c>
      <c r="C12" s="187"/>
    </row>
    <row r="13" spans="1:3">
      <c r="B13" s="182" t="s">
        <v>12</v>
      </c>
      <c r="C13" s="188">
        <v>7.0000000000000007E-2</v>
      </c>
    </row>
    <row r="14" spans="1:3">
      <c r="B14" s="182" t="s">
        <v>15</v>
      </c>
      <c r="C14" s="189">
        <v>6.5000000000000002E-2</v>
      </c>
    </row>
    <row r="15" spans="1:3">
      <c r="B15" s="182" t="s">
        <v>17</v>
      </c>
      <c r="C15" s="190">
        <f>'Peer Group'!N21</f>
        <v>0.96766521100867919</v>
      </c>
    </row>
    <row r="16" spans="1:3">
      <c r="B16" s="182" t="s">
        <v>19</v>
      </c>
      <c r="C16" s="191">
        <f>C15+C21*(C15-C18)</f>
        <v>1.0881587477925327</v>
      </c>
    </row>
    <row r="17" spans="1:16">
      <c r="B17" s="182" t="s">
        <v>20</v>
      </c>
      <c r="C17" s="188">
        <f>C13+C16*C14</f>
        <v>0.14073031860651464</v>
      </c>
      <c r="D17" s="192"/>
    </row>
    <row r="18" spans="1:16">
      <c r="B18" s="182" t="s">
        <v>21</v>
      </c>
      <c r="C18" s="182">
        <v>0.2</v>
      </c>
      <c r="D18" s="193"/>
    </row>
    <row r="19" spans="1:16">
      <c r="B19" s="182" t="s">
        <v>22</v>
      </c>
      <c r="C19" s="188">
        <v>0.08</v>
      </c>
    </row>
    <row r="20" spans="1:16">
      <c r="B20" s="182" t="s">
        <v>24</v>
      </c>
      <c r="C20" s="188">
        <f>'Peer Group'!F21</f>
        <v>0.13566666666666669</v>
      </c>
    </row>
    <row r="21" spans="1:16">
      <c r="B21" s="182" t="s">
        <v>26</v>
      </c>
      <c r="C21" s="193">
        <f>C20/(1-C20)</f>
        <v>0.15696104897801777</v>
      </c>
    </row>
    <row r="22" spans="1:16">
      <c r="B22" s="182" t="s">
        <v>28</v>
      </c>
      <c r="C22" s="192">
        <f>AVERAGE(LBO!G173:N173)</f>
        <v>0.29625000000000001</v>
      </c>
    </row>
    <row r="23" spans="1:16">
      <c r="B23" s="182" t="s">
        <v>8</v>
      </c>
      <c r="C23" s="194">
        <f>(1-C20)*C17+C20*C19*(1-C22)</f>
        <v>0.12927593871556414</v>
      </c>
    </row>
    <row r="28" spans="1:16">
      <c r="H28" s="182">
        <v>1</v>
      </c>
      <c r="I28" s="182">
        <v>2</v>
      </c>
      <c r="J28" s="182">
        <v>3</v>
      </c>
      <c r="K28" s="182">
        <v>4</v>
      </c>
      <c r="L28" s="182">
        <v>5</v>
      </c>
      <c r="M28" s="182">
        <v>6</v>
      </c>
      <c r="N28" s="182">
        <v>7</v>
      </c>
      <c r="O28" s="182">
        <v>8</v>
      </c>
    </row>
    <row r="29" spans="1:16">
      <c r="A29" s="182" t="s">
        <v>13</v>
      </c>
      <c r="B29" s="186" t="s">
        <v>30</v>
      </c>
      <c r="C29" s="195">
        <v>1987</v>
      </c>
      <c r="D29" s="195" t="s">
        <v>31</v>
      </c>
      <c r="E29" s="195">
        <v>1988</v>
      </c>
      <c r="F29" s="195">
        <v>1989</v>
      </c>
      <c r="G29" s="195">
        <v>1990</v>
      </c>
      <c r="H29" s="195">
        <v>1991</v>
      </c>
      <c r="I29" s="195">
        <v>1992</v>
      </c>
      <c r="J29" s="195">
        <v>1993</v>
      </c>
      <c r="K29" s="195">
        <v>1994</v>
      </c>
      <c r="L29" s="195">
        <v>1995</v>
      </c>
      <c r="M29" s="195">
        <v>1996</v>
      </c>
      <c r="N29" s="195">
        <v>1997</v>
      </c>
      <c r="O29" s="195">
        <v>1998</v>
      </c>
      <c r="P29" s="195" t="s">
        <v>32</v>
      </c>
    </row>
    <row r="30" spans="1:16">
      <c r="B30" s="182" t="s">
        <v>33</v>
      </c>
      <c r="C30" s="182">
        <f>'P&amp;L'!C6/1000</f>
        <v>89.387</v>
      </c>
      <c r="D30" s="182">
        <f>'P&amp;L'!D6/1000</f>
        <v>87.819000000000003</v>
      </c>
      <c r="F30" s="182">
        <f>'P&amp;L'!E6/1000</f>
        <v>97.772000000000006</v>
      </c>
      <c r="G30" s="182">
        <f>'P&amp;L'!F6/1000</f>
        <v>110.89700000000001</v>
      </c>
    </row>
    <row r="31" spans="1:16">
      <c r="B31" s="182" t="s">
        <v>34</v>
      </c>
      <c r="C31" s="182">
        <f>'P&amp;L'!C7/1000</f>
        <v>-76.873999999999995</v>
      </c>
      <c r="D31" s="182">
        <f>'P&amp;L'!D7/1000</f>
        <v>-77.665999999999997</v>
      </c>
      <c r="F31" s="182">
        <f>'P&amp;L'!E7/1000</f>
        <v>-85.200999999999993</v>
      </c>
      <c r="G31" s="182">
        <f>'P&amp;L'!F7/1000</f>
        <v>-98.465999999999994</v>
      </c>
    </row>
    <row r="32" spans="1:16">
      <c r="B32" s="182" t="s">
        <v>35</v>
      </c>
      <c r="C32" s="182">
        <f>'P&amp;L'!C8/1000</f>
        <v>12.513</v>
      </c>
      <c r="D32" s="182">
        <f>'P&amp;L'!D8/1000</f>
        <v>10.153</v>
      </c>
      <c r="F32" s="182">
        <f>'P&amp;L'!E8/1000</f>
        <v>2.5209999999999999</v>
      </c>
      <c r="G32" s="182">
        <f>'P&amp;L'!F8/1000</f>
        <v>12.430999999999999</v>
      </c>
    </row>
    <row r="33" spans="2:25">
      <c r="B33" s="182" t="s">
        <v>36</v>
      </c>
      <c r="C33" s="182">
        <f>'P&amp;L'!C9/1000</f>
        <v>-3.9529999999999998</v>
      </c>
      <c r="D33" s="182">
        <f>'P&amp;L'!D9/1000</f>
        <v>-2.5230000000000001</v>
      </c>
      <c r="F33" s="182">
        <f>'P&amp;L'!E9/1000</f>
        <v>-2.984</v>
      </c>
      <c r="G33" s="182">
        <f>'P&amp;L'!F9/1000</f>
        <v>-3.5249999999999999</v>
      </c>
    </row>
    <row r="34" spans="2:25">
      <c r="B34" s="182" t="s">
        <v>37</v>
      </c>
      <c r="C34" s="182">
        <f>'P&amp;L'!C10/1000</f>
        <v>8.56</v>
      </c>
      <c r="D34" s="182">
        <f>'P&amp;L'!D10/1000</f>
        <v>7.63</v>
      </c>
      <c r="F34" s="182">
        <f>'P&amp;L'!E10/1000</f>
        <v>9.5370000000000008</v>
      </c>
      <c r="G34" s="182">
        <f>'P&amp;L'!F10/1000</f>
        <v>8.9060000000000006</v>
      </c>
    </row>
    <row r="35" spans="2:25">
      <c r="B35" s="196" t="s">
        <v>38</v>
      </c>
      <c r="C35" s="197">
        <f>'P&amp;L'!C11/100</f>
        <v>0.14000000000000001</v>
      </c>
      <c r="D35" s="197">
        <f>'P&amp;L'!D11/100</f>
        <v>0.11599999999999999</v>
      </c>
      <c r="E35" s="196"/>
      <c r="F35" s="197">
        <f>'P&amp;L'!E11/100</f>
        <v>0.128</v>
      </c>
      <c r="G35" s="197">
        <f>'P&amp;L'!F11/100</f>
        <v>0.11199999999999999</v>
      </c>
    </row>
    <row r="36" spans="2:25">
      <c r="B36" s="196" t="s">
        <v>39</v>
      </c>
      <c r="C36" s="197">
        <f>'P&amp;L'!C12/100</f>
        <v>9.6000000000000002E-2</v>
      </c>
      <c r="D36" s="197">
        <f>'P&amp;L'!D12/100</f>
        <v>8.6999999999999994E-2</v>
      </c>
      <c r="E36" s="196"/>
      <c r="F36" s="197">
        <f>'P&amp;L'!E12/100</f>
        <v>9.8000000000000004E-2</v>
      </c>
      <c r="G36" s="197">
        <f>'P&amp;L'!F12/100</f>
        <v>0.08</v>
      </c>
    </row>
    <row r="37" spans="2:25">
      <c r="H37" s="182">
        <f t="shared" ref="H37:P37" si="0">((H38-G38)/H38)</f>
        <v>0.33183183183183185</v>
      </c>
      <c r="I37" s="182">
        <f t="shared" si="0"/>
        <v>0.19662243667068749</v>
      </c>
      <c r="J37" s="182">
        <f t="shared" si="0"/>
        <v>0.12275132275132278</v>
      </c>
      <c r="K37" s="182">
        <f t="shared" si="0"/>
        <v>7.1709233791748567E-2</v>
      </c>
      <c r="L37" s="182">
        <f t="shared" si="0"/>
        <v>7.1591427268581864E-2</v>
      </c>
      <c r="M37" s="182">
        <f t="shared" si="0"/>
        <v>6.7205444491705596E-2</v>
      </c>
      <c r="N37" s="182">
        <f t="shared" si="0"/>
        <v>6.7803330689928665E-2</v>
      </c>
      <c r="O37" s="182">
        <f t="shared" si="0"/>
        <v>6.8341337273734815E-2</v>
      </c>
      <c r="P37" s="182">
        <f t="shared" si="0"/>
        <v>5.8565764763163421E-2</v>
      </c>
      <c r="Q37" s="182">
        <f>AVERAGE(H37:P37)</f>
        <v>0.117380236614745</v>
      </c>
    </row>
    <row r="38" spans="2:25">
      <c r="B38" s="182" t="s">
        <v>40</v>
      </c>
      <c r="E38" s="182">
        <f>E$39+E$45</f>
        <v>7.6</v>
      </c>
      <c r="F38" s="182">
        <f>F$39+F$45</f>
        <v>9.5</v>
      </c>
      <c r="G38" s="182">
        <f>G$39+G$45</f>
        <v>8.9</v>
      </c>
      <c r="H38" s="182">
        <f>H$39+H$45</f>
        <v>13.32</v>
      </c>
      <c r="I38" s="182">
        <f t="shared" ref="I38:P38" si="1">I$39+I$45</f>
        <v>16.579999999999998</v>
      </c>
      <c r="J38" s="182">
        <f t="shared" si="1"/>
        <v>18.899999999999999</v>
      </c>
      <c r="K38" s="182">
        <f t="shared" si="1"/>
        <v>20.36</v>
      </c>
      <c r="L38" s="182">
        <f t="shared" si="1"/>
        <v>21.93</v>
      </c>
      <c r="M38" s="182">
        <f t="shared" si="1"/>
        <v>23.509999999999998</v>
      </c>
      <c r="N38" s="182">
        <f t="shared" si="1"/>
        <v>25.22</v>
      </c>
      <c r="O38" s="182">
        <f t="shared" si="1"/>
        <v>27.07</v>
      </c>
      <c r="P38" s="182">
        <f t="shared" si="1"/>
        <v>28.754000000000001</v>
      </c>
      <c r="Q38" s="182">
        <f>P38*(1+$Q$37)</f>
        <v>32.129151323620377</v>
      </c>
      <c r="R38" s="182">
        <f>Q38*(1+$Q$37)</f>
        <v>35.900478708217882</v>
      </c>
      <c r="S38" s="182">
        <f>R38*(1+$Q$37)</f>
        <v>40.114485393571108</v>
      </c>
    </row>
    <row r="39" spans="2:25">
      <c r="B39" s="182" t="s">
        <v>41</v>
      </c>
      <c r="E39" s="182">
        <f>'Exhibit 7'!B10</f>
        <v>7.6</v>
      </c>
      <c r="F39" s="182">
        <f>'Exhibit 7'!C10</f>
        <v>9.5</v>
      </c>
      <c r="G39" s="182">
        <f>'Exhibit 7'!D10</f>
        <v>8.9</v>
      </c>
      <c r="H39" s="182">
        <f>'Exhibit 9'!B9</f>
        <v>11.42</v>
      </c>
      <c r="I39" s="182">
        <f>'Exhibit 9'!C9</f>
        <v>14.6</v>
      </c>
      <c r="J39" s="182">
        <f>'Exhibit 9'!D9</f>
        <v>16.89</v>
      </c>
      <c r="K39" s="182">
        <f>'Exhibit 9'!E9</f>
        <v>18.25</v>
      </c>
      <c r="L39" s="182">
        <f>'Exhibit 9'!F9</f>
        <v>19.71</v>
      </c>
      <c r="M39" s="182">
        <f>'Exhibit 9'!G9</f>
        <v>21.29</v>
      </c>
      <c r="N39" s="182">
        <f>'Exhibit 9'!H9</f>
        <v>23</v>
      </c>
      <c r="O39" s="182">
        <f>'Exhibit 9'!I9</f>
        <v>24.85</v>
      </c>
      <c r="P39" s="182">
        <f>O39*(1+C7)</f>
        <v>25.844000000000001</v>
      </c>
      <c r="S39" s="184">
        <f>S38*'Peer Group'!H156</f>
        <v>421.61656203500991</v>
      </c>
    </row>
    <row r="40" spans="2:25">
      <c r="B40" s="182" t="s">
        <v>42</v>
      </c>
      <c r="H40" s="182">
        <f>'Exhibit 9'!B10</f>
        <v>-2.855</v>
      </c>
      <c r="I40" s="182">
        <f>'Exhibit 9'!C10</f>
        <v>-4.5259999999999998</v>
      </c>
      <c r="J40" s="182">
        <f>'Exhibit 9'!D10</f>
        <v>-5.2359</v>
      </c>
      <c r="K40" s="182">
        <f>'Exhibit 9'!E10</f>
        <v>-5.4749999999999996</v>
      </c>
      <c r="L40" s="182">
        <f>'Exhibit 9'!F10</f>
        <v>-5.9130000000000003</v>
      </c>
      <c r="M40" s="182">
        <f>'Exhibit 9'!G10</f>
        <v>-6.3869999999999996</v>
      </c>
      <c r="N40" s="182">
        <f>'Exhibit 9'!H10</f>
        <v>-6.8999999999999995</v>
      </c>
      <c r="O40" s="182">
        <f>'Exhibit 9'!I10</f>
        <v>-7.4550000000000001</v>
      </c>
      <c r="P40" s="182">
        <f>-P39*P41</f>
        <v>-7.7531999999999996</v>
      </c>
    </row>
    <row r="41" spans="2:25">
      <c r="B41" s="182" t="s">
        <v>28</v>
      </c>
      <c r="H41" s="188">
        <f t="shared" ref="H41:O41" si="2">(H40/H39)*-1</f>
        <v>0.25</v>
      </c>
      <c r="I41" s="188">
        <f t="shared" si="2"/>
        <v>0.31</v>
      </c>
      <c r="J41" s="188">
        <f t="shared" si="2"/>
        <v>0.31</v>
      </c>
      <c r="K41" s="188">
        <f t="shared" si="2"/>
        <v>0.3</v>
      </c>
      <c r="L41" s="188">
        <f t="shared" si="2"/>
        <v>0.3</v>
      </c>
      <c r="M41" s="188">
        <f t="shared" si="2"/>
        <v>0.3</v>
      </c>
      <c r="N41" s="188">
        <f t="shared" si="2"/>
        <v>0.3</v>
      </c>
      <c r="O41" s="188">
        <f t="shared" si="2"/>
        <v>0.3</v>
      </c>
      <c r="P41" s="192">
        <f>O41</f>
        <v>0.3</v>
      </c>
    </row>
    <row r="42" spans="2:25">
      <c r="B42" s="182" t="s">
        <v>43</v>
      </c>
      <c r="F42" s="198"/>
      <c r="H42" s="182">
        <f>'Exhibit 9'!B11</f>
        <v>8.5649999999999995</v>
      </c>
      <c r="I42" s="182">
        <f>'Exhibit 9'!C11</f>
        <v>10.074</v>
      </c>
      <c r="J42" s="182">
        <f>'Exhibit 9'!D11</f>
        <v>11.6541</v>
      </c>
      <c r="K42" s="182">
        <f>'Exhibit 9'!E11</f>
        <v>12.775</v>
      </c>
      <c r="L42" s="182">
        <f>'Exhibit 9'!F11</f>
        <v>13.797000000000001</v>
      </c>
      <c r="M42" s="182">
        <f>'Exhibit 9'!G11</f>
        <v>14.902999999999999</v>
      </c>
      <c r="N42" s="182">
        <f>'Exhibit 9'!H11</f>
        <v>16.100000000000001</v>
      </c>
      <c r="O42" s="182">
        <f>'Exhibit 9'!I11</f>
        <v>17.395000000000003</v>
      </c>
      <c r="P42" s="182">
        <f>P39+P40</f>
        <v>18.090800000000002</v>
      </c>
    </row>
    <row r="43" spans="2:25">
      <c r="F43" s="198"/>
    </row>
    <row r="44" spans="2:25">
      <c r="B44" s="196" t="s">
        <v>44</v>
      </c>
    </row>
    <row r="45" spans="2:25">
      <c r="B45" s="182" t="s">
        <v>45</v>
      </c>
      <c r="H45" s="182">
        <f>'Exhibit 9'!B14</f>
        <v>1.9</v>
      </c>
      <c r="I45" s="182">
        <f>'Exhibit 9'!C14</f>
        <v>1.98</v>
      </c>
      <c r="J45" s="182">
        <f>'Exhibit 9'!D14</f>
        <v>2.0099999999999998</v>
      </c>
      <c r="K45" s="182">
        <f>'Exhibit 9'!E14</f>
        <v>2.11</v>
      </c>
      <c r="L45" s="182">
        <f>'Exhibit 9'!F14</f>
        <v>2.2200000000000002</v>
      </c>
      <c r="M45" s="182">
        <f>'Exhibit 9'!G14</f>
        <v>2.2200000000000002</v>
      </c>
      <c r="N45" s="182">
        <f>'Exhibit 9'!H14</f>
        <v>2.2200000000000002</v>
      </c>
      <c r="O45" s="182">
        <f>'Exhibit 9'!I14</f>
        <v>2.2200000000000002</v>
      </c>
      <c r="P45" s="182">
        <f>-O47</f>
        <v>2.91</v>
      </c>
    </row>
    <row r="46" spans="2:25">
      <c r="B46" s="182" t="s">
        <v>46</v>
      </c>
      <c r="H46" s="182">
        <f>'Exhibit 9'!B15</f>
        <v>-0.25</v>
      </c>
      <c r="I46" s="182">
        <f>'Exhibit 9'!C15</f>
        <v>-0.19</v>
      </c>
      <c r="J46" s="182">
        <f>'Exhibit 9'!D15</f>
        <v>-0.2</v>
      </c>
      <c r="K46" s="182">
        <f>'Exhibit 9'!E15</f>
        <v>-0.2</v>
      </c>
      <c r="L46" s="182">
        <f>'Exhibit 9'!F15</f>
        <v>0</v>
      </c>
      <c r="M46" s="182">
        <f>'Exhibit 9'!G15</f>
        <v>0</v>
      </c>
      <c r="N46" s="182">
        <f>'Exhibit 9'!H15</f>
        <v>0</v>
      </c>
      <c r="O46" s="182">
        <f>'Exhibit 9'!I15</f>
        <v>0</v>
      </c>
      <c r="P46" s="182">
        <f>O46</f>
        <v>0</v>
      </c>
    </row>
    <row r="47" spans="2:25">
      <c r="B47" s="182" t="s">
        <v>47</v>
      </c>
      <c r="H47" s="182">
        <f>'Exhibit 9'!B16</f>
        <v>-2.69</v>
      </c>
      <c r="I47" s="182">
        <f>'Exhibit 9'!C16</f>
        <v>-1.4</v>
      </c>
      <c r="J47" s="182">
        <f>'Exhibit 9'!D16</f>
        <v>-2.64</v>
      </c>
      <c r="K47" s="182">
        <f>'Exhibit 9'!E16</f>
        <v>-2.77</v>
      </c>
      <c r="L47" s="182">
        <f>'Exhibit 9'!F16</f>
        <v>-2.91</v>
      </c>
      <c r="M47" s="182">
        <f>'Exhibit 9'!G16</f>
        <v>-2.91</v>
      </c>
      <c r="N47" s="182">
        <f>'Exhibit 9'!H16</f>
        <v>-2.91</v>
      </c>
      <c r="O47" s="182">
        <f>'Exhibit 9'!I16</f>
        <v>-2.91</v>
      </c>
      <c r="P47" s="182">
        <f>O47</f>
        <v>-2.91</v>
      </c>
      <c r="R47" s="187" t="s">
        <v>48</v>
      </c>
      <c r="S47" s="187">
        <v>1993</v>
      </c>
      <c r="T47" s="187">
        <v>1994</v>
      </c>
      <c r="U47" s="187">
        <v>1995</v>
      </c>
      <c r="V47" s="187">
        <v>1996</v>
      </c>
      <c r="W47" s="187">
        <v>1997</v>
      </c>
      <c r="X47" s="187">
        <v>1998</v>
      </c>
      <c r="Y47" s="187" t="s">
        <v>49</v>
      </c>
    </row>
    <row r="48" spans="2:25">
      <c r="B48" s="182" t="s">
        <v>50</v>
      </c>
      <c r="H48" s="182">
        <f>'Exhibit 9'!B17</f>
        <v>-0.02</v>
      </c>
      <c r="I48" s="182">
        <f>'Exhibit 9'!C17</f>
        <v>-2.2400000000000002</v>
      </c>
      <c r="J48" s="182">
        <f>'Exhibit 9'!D17</f>
        <v>-2.73</v>
      </c>
      <c r="K48" s="182">
        <f>'Exhibit 9'!E17</f>
        <v>-2.95</v>
      </c>
      <c r="L48" s="182">
        <f>'Exhibit 9'!F17</f>
        <v>-3.19</v>
      </c>
      <c r="M48" s="182">
        <f>'Exhibit 9'!G17</f>
        <v>-3.44</v>
      </c>
      <c r="N48" s="182">
        <f>'Exhibit 9'!H17</f>
        <v>-3.72</v>
      </c>
      <c r="O48" s="182">
        <f>'Exhibit 9'!I17</f>
        <v>-4.0199999999999996</v>
      </c>
      <c r="P48" s="190">
        <f>O48*(1+Y48)</f>
        <v>-4.3421499575520839</v>
      </c>
      <c r="S48" s="194">
        <f t="shared" ref="S48:X51" si="3">J48/I48-1</f>
        <v>0.21874999999999978</v>
      </c>
      <c r="T48" s="194">
        <f t="shared" si="3"/>
        <v>8.0586080586080744E-2</v>
      </c>
      <c r="U48" s="194">
        <f t="shared" si="3"/>
        <v>8.1355932203389658E-2</v>
      </c>
      <c r="V48" s="194">
        <f t="shared" si="3"/>
        <v>7.8369905956112929E-2</v>
      </c>
      <c r="W48" s="194">
        <f t="shared" si="3"/>
        <v>8.1395348837209447E-2</v>
      </c>
      <c r="X48" s="194">
        <f t="shared" si="3"/>
        <v>8.0645161290322509E-2</v>
      </c>
      <c r="Y48" s="193">
        <f>AVERAGE(V48:X48)</f>
        <v>8.0136805361214966E-2</v>
      </c>
    </row>
    <row r="49" spans="1:25">
      <c r="B49" s="182" t="s">
        <v>51</v>
      </c>
      <c r="H49" s="182">
        <f>'Exhibit 9'!B18</f>
        <v>0.17</v>
      </c>
      <c r="I49" s="182">
        <f>'Exhibit 9'!C18</f>
        <v>-0.23</v>
      </c>
      <c r="J49" s="182">
        <f>'Exhibit 9'!D18</f>
        <v>-0.32</v>
      </c>
      <c r="K49" s="182">
        <f>'Exhibit 9'!E18</f>
        <v>-0.4</v>
      </c>
      <c r="L49" s="182">
        <f>'Exhibit 9'!F18</f>
        <v>-0.43</v>
      </c>
      <c r="M49" s="182">
        <f>'Exhibit 9'!G18</f>
        <v>-0.46</v>
      </c>
      <c r="N49" s="182">
        <f>'Exhibit 9'!H18</f>
        <v>-0.5</v>
      </c>
      <c r="O49" s="182">
        <f>'Exhibit 9'!I18</f>
        <v>-0.54</v>
      </c>
      <c r="P49" s="190">
        <f t="shared" ref="P49:P53" si="4">O49*(1+Y49)</f>
        <v>-0.58261031344792735</v>
      </c>
      <c r="S49" s="194">
        <f t="shared" si="3"/>
        <v>0.39130434782608692</v>
      </c>
      <c r="T49" s="194">
        <f t="shared" si="3"/>
        <v>0.25</v>
      </c>
      <c r="U49" s="194">
        <f t="shared" si="3"/>
        <v>7.4999999999999956E-2</v>
      </c>
      <c r="V49" s="194">
        <f t="shared" si="3"/>
        <v>6.976744186046524E-2</v>
      </c>
      <c r="W49" s="194">
        <f t="shared" si="3"/>
        <v>8.6956521739130377E-2</v>
      </c>
      <c r="X49" s="194">
        <f t="shared" si="3"/>
        <v>8.0000000000000071E-2</v>
      </c>
      <c r="Y49" s="193">
        <f t="shared" ref="Y49:Y53" si="5">AVERAGE(V49:X49)</f>
        <v>7.8907987866531901E-2</v>
      </c>
    </row>
    <row r="50" spans="1:25">
      <c r="B50" s="182" t="s">
        <v>52</v>
      </c>
      <c r="H50" s="182">
        <f>'Exhibit 9'!B19</f>
        <v>0.4</v>
      </c>
      <c r="I50" s="182">
        <f>'Exhibit 9'!C19</f>
        <v>-0.12</v>
      </c>
      <c r="J50" s="182">
        <f>'Exhibit 9'!D19</f>
        <v>-0.14000000000000001</v>
      </c>
      <c r="K50" s="182">
        <f>'Exhibit 9'!E19</f>
        <v>-0.15</v>
      </c>
      <c r="L50" s="182">
        <f>'Exhibit 9'!F19</f>
        <v>-0.16</v>
      </c>
      <c r="M50" s="182">
        <f>'Exhibit 9'!G19</f>
        <v>-0.18</v>
      </c>
      <c r="N50" s="182">
        <f>'Exhibit 9'!H19</f>
        <v>-0.19</v>
      </c>
      <c r="O50" s="182">
        <f>'Exhibit 9'!I19</f>
        <v>-0.21</v>
      </c>
      <c r="P50" s="190">
        <f t="shared" si="4"/>
        <v>-0.23000730994152047</v>
      </c>
      <c r="S50" s="194">
        <f t="shared" si="3"/>
        <v>0.16666666666666674</v>
      </c>
      <c r="T50" s="194">
        <f t="shared" si="3"/>
        <v>7.1428571428571397E-2</v>
      </c>
      <c r="U50" s="194">
        <f t="shared" si="3"/>
        <v>6.6666666666666652E-2</v>
      </c>
      <c r="V50" s="194">
        <f t="shared" si="3"/>
        <v>0.125</v>
      </c>
      <c r="W50" s="194">
        <f t="shared" si="3"/>
        <v>5.555555555555558E-2</v>
      </c>
      <c r="X50" s="194">
        <f t="shared" si="3"/>
        <v>0.10526315789473673</v>
      </c>
      <c r="Y50" s="193">
        <f t="shared" si="5"/>
        <v>9.5272904483430773E-2</v>
      </c>
    </row>
    <row r="51" spans="1:25">
      <c r="B51" s="182" t="s">
        <v>53</v>
      </c>
      <c r="H51" s="182">
        <f>'Exhibit 9'!B20</f>
        <v>0.18</v>
      </c>
      <c r="I51" s="182">
        <f>'Exhibit 9'!C20</f>
        <v>0.8</v>
      </c>
      <c r="J51" s="182">
        <f>'Exhibit 9'!D20</f>
        <v>1.1499999999999999</v>
      </c>
      <c r="K51" s="182">
        <f>'Exhibit 9'!E20</f>
        <v>1.41</v>
      </c>
      <c r="L51" s="182">
        <f>'Exhibit 9'!F20</f>
        <v>1.52</v>
      </c>
      <c r="M51" s="182">
        <f>'Exhibit 9'!G20</f>
        <v>1.64</v>
      </c>
      <c r="N51" s="182">
        <f>'Exhibit 9'!H20</f>
        <v>1.77</v>
      </c>
      <c r="O51" s="182">
        <f>'Exhibit 9'!I20</f>
        <v>1.91</v>
      </c>
      <c r="P51" s="190">
        <f t="shared" si="4"/>
        <v>2.0610884530120948</v>
      </c>
      <c r="S51" s="194">
        <f t="shared" si="3"/>
        <v>0.43749999999999978</v>
      </c>
      <c r="T51" s="194">
        <f t="shared" si="3"/>
        <v>0.22608695652173916</v>
      </c>
      <c r="U51" s="194">
        <f t="shared" si="3"/>
        <v>7.8014184397163122E-2</v>
      </c>
      <c r="V51" s="194">
        <f t="shared" si="3"/>
        <v>7.8947368421052655E-2</v>
      </c>
      <c r="W51" s="194">
        <f t="shared" si="3"/>
        <v>7.92682926829269E-2</v>
      </c>
      <c r="X51" s="194">
        <f t="shared" si="3"/>
        <v>7.909604519774005E-2</v>
      </c>
      <c r="Y51" s="193">
        <f t="shared" si="5"/>
        <v>7.9103902100573206E-2</v>
      </c>
    </row>
    <row r="52" spans="1:25">
      <c r="B52" s="182" t="s">
        <v>54</v>
      </c>
      <c r="H52" s="182">
        <f>'Exhibit 9'!B21</f>
        <v>0.45</v>
      </c>
      <c r="I52" s="182">
        <f>'Exhibit 9'!C21</f>
        <v>0.56999999999999995</v>
      </c>
      <c r="J52" s="182">
        <f>'Exhibit 9'!D21</f>
        <v>0</v>
      </c>
      <c r="K52" s="182">
        <f>'Exhibit 9'!E21</f>
        <v>0</v>
      </c>
      <c r="L52" s="182">
        <f>'Exhibit 9'!F21</f>
        <v>0</v>
      </c>
      <c r="M52" s="182">
        <f>'Exhibit 9'!G21</f>
        <v>0</v>
      </c>
      <c r="N52" s="182">
        <f>'Exhibit 9'!H21</f>
        <v>0</v>
      </c>
      <c r="O52" s="182">
        <f>'Exhibit 9'!I21</f>
        <v>0</v>
      </c>
      <c r="P52" s="190">
        <f>O52</f>
        <v>0</v>
      </c>
      <c r="S52" s="194"/>
      <c r="T52" s="194"/>
      <c r="U52" s="194"/>
      <c r="V52" s="194"/>
      <c r="W52" s="194"/>
      <c r="X52" s="194"/>
      <c r="Y52" s="193"/>
    </row>
    <row r="53" spans="1:25">
      <c r="B53" s="182" t="s">
        <v>55</v>
      </c>
      <c r="H53" s="182">
        <f>'Exhibit 9'!B22</f>
        <v>-1.33</v>
      </c>
      <c r="I53" s="182">
        <f>'Exhibit 9'!C22</f>
        <v>0.7</v>
      </c>
      <c r="J53" s="182">
        <f>'Exhibit 9'!D22</f>
        <v>0.85</v>
      </c>
      <c r="K53" s="182">
        <f>'Exhibit 9'!E22</f>
        <v>0.92</v>
      </c>
      <c r="L53" s="182">
        <f>'Exhibit 9'!F22</f>
        <v>0.99</v>
      </c>
      <c r="M53" s="182">
        <f>'Exhibit 9'!G22</f>
        <v>1.07</v>
      </c>
      <c r="N53" s="182">
        <f>'Exhibit 9'!H22</f>
        <v>1.1599999999999999</v>
      </c>
      <c r="O53" s="182">
        <f>'Exhibit 9'!I22</f>
        <v>1.25</v>
      </c>
      <c r="P53" s="190">
        <f t="shared" si="4"/>
        <v>1.351044348848893</v>
      </c>
      <c r="S53" s="194">
        <f t="shared" ref="S53:X53" si="6">J53/I53-1</f>
        <v>0.21428571428571441</v>
      </c>
      <c r="T53" s="194">
        <f t="shared" si="6"/>
        <v>8.235294117647074E-2</v>
      </c>
      <c r="U53" s="194">
        <f t="shared" si="6"/>
        <v>7.6086956521739024E-2</v>
      </c>
      <c r="V53" s="194">
        <f t="shared" si="6"/>
        <v>8.0808080808080884E-2</v>
      </c>
      <c r="W53" s="194">
        <f t="shared" si="6"/>
        <v>8.4112149532710179E-2</v>
      </c>
      <c r="X53" s="194">
        <f t="shared" si="6"/>
        <v>7.7586206896551824E-2</v>
      </c>
      <c r="Y53" s="193">
        <f t="shared" si="5"/>
        <v>8.08354790791143E-2</v>
      </c>
    </row>
    <row r="54" spans="1:25">
      <c r="B54" s="199" t="s">
        <v>56</v>
      </c>
      <c r="C54" s="199"/>
      <c r="D54" s="199"/>
      <c r="E54" s="199"/>
      <c r="F54" s="199"/>
      <c r="G54" s="199"/>
      <c r="H54" s="200">
        <f>'Exhibit 9'!B23</f>
        <v>7.375</v>
      </c>
      <c r="I54" s="200">
        <f>'Exhibit 9'!C23</f>
        <v>9.9439999999999991</v>
      </c>
      <c r="J54" s="200">
        <f>'Exhibit 9'!D23</f>
        <v>9.6340999999999983</v>
      </c>
      <c r="K54" s="200">
        <f>'Exhibit 9'!E23</f>
        <v>10.744999999999999</v>
      </c>
      <c r="L54" s="200">
        <f>'Exhibit 9'!F23</f>
        <v>11.837</v>
      </c>
      <c r="M54" s="200">
        <f>'Exhibit 9'!G23</f>
        <v>12.842999999999998</v>
      </c>
      <c r="N54" s="200">
        <f>'Exhibit 9'!H23</f>
        <v>13.93</v>
      </c>
      <c r="O54" s="200">
        <f>'Exhibit 9'!I23</f>
        <v>15.095000000000002</v>
      </c>
      <c r="P54" s="200">
        <f>P42+P45+P46+P47+P48+P49+P50+P51+P52+P53</f>
        <v>16.348165220919459</v>
      </c>
    </row>
    <row r="55" spans="1:25">
      <c r="B55" s="182" t="s">
        <v>57</v>
      </c>
      <c r="P55" s="182">
        <f>P54/(C23-C7)</f>
        <v>183.1194995664533</v>
      </c>
    </row>
    <row r="56" spans="1:25">
      <c r="B56" s="182" t="s">
        <v>58</v>
      </c>
      <c r="H56" s="190">
        <f t="shared" ref="H56:O56" si="7">1/(1+$C$23)^H28</f>
        <v>0.88552316198058523</v>
      </c>
      <c r="I56" s="190">
        <f t="shared" si="7"/>
        <v>0.78415127040409383</v>
      </c>
      <c r="J56" s="190">
        <f t="shared" si="7"/>
        <v>0.69438411243932596</v>
      </c>
      <c r="K56" s="190">
        <f t="shared" si="7"/>
        <v>0.61489321487635429</v>
      </c>
      <c r="L56" s="190">
        <f t="shared" si="7"/>
        <v>0.54450218391771665</v>
      </c>
      <c r="M56" s="190">
        <f t="shared" si="7"/>
        <v>0.48216929560815053</v>
      </c>
      <c r="N56" s="190">
        <f t="shared" si="7"/>
        <v>0.42697207925688102</v>
      </c>
      <c r="O56" s="190">
        <f t="shared" si="7"/>
        <v>0.37809366570097835</v>
      </c>
    </row>
    <row r="57" spans="1:25">
      <c r="B57" s="199" t="s">
        <v>1313</v>
      </c>
      <c r="C57" s="199"/>
      <c r="D57" s="199"/>
      <c r="E57" s="199"/>
      <c r="F57" s="199"/>
      <c r="G57" s="199"/>
      <c r="H57" s="200">
        <f>H54*H56</f>
        <v>6.5307333196068162</v>
      </c>
      <c r="I57" s="200">
        <f t="shared" ref="I57:O57" si="8">I54*I56</f>
        <v>7.7976002328983078</v>
      </c>
      <c r="J57" s="200">
        <f t="shared" si="8"/>
        <v>6.6897659776517093</v>
      </c>
      <c r="K57" s="200">
        <f t="shared" si="8"/>
        <v>6.6070275938464267</v>
      </c>
      <c r="L57" s="200">
        <f t="shared" si="8"/>
        <v>6.4452723510340117</v>
      </c>
      <c r="M57" s="200">
        <f t="shared" si="8"/>
        <v>6.192500263495476</v>
      </c>
      <c r="N57" s="200">
        <f t="shared" si="8"/>
        <v>5.9477210640483529</v>
      </c>
      <c r="O57" s="200">
        <f t="shared" si="8"/>
        <v>5.7073238837562688</v>
      </c>
      <c r="P57" s="199">
        <f>P55*O56</f>
        <v>69.236322852409046</v>
      </c>
    </row>
    <row r="60" spans="1:25">
      <c r="A60" s="182" t="s">
        <v>13</v>
      </c>
      <c r="B60" s="186" t="s">
        <v>66</v>
      </c>
      <c r="C60" s="186"/>
    </row>
    <row r="61" spans="1:25">
      <c r="B61" s="182" t="s">
        <v>67</v>
      </c>
      <c r="C61" s="190">
        <f>SUM(H57:O57)</f>
        <v>51.917944686337371</v>
      </c>
      <c r="D61" s="201">
        <f>C61/C63</f>
        <v>0.4285275767915766</v>
      </c>
    </row>
    <row r="62" spans="1:25">
      <c r="B62" s="182" t="s">
        <v>68</v>
      </c>
      <c r="C62" s="190">
        <f>P57</f>
        <v>69.236322852409046</v>
      </c>
      <c r="D62" s="201">
        <f>C62/C63</f>
        <v>0.5714724232084234</v>
      </c>
    </row>
    <row r="63" spans="1:25">
      <c r="B63" s="202" t="s">
        <v>69</v>
      </c>
      <c r="C63" s="203">
        <f>SUM(C61:C62)</f>
        <v>121.15426753874641</v>
      </c>
    </row>
    <row r="65" spans="1:6">
      <c r="A65" s="182" t="s">
        <v>13</v>
      </c>
      <c r="B65" s="186" t="s">
        <v>75</v>
      </c>
      <c r="C65" s="187"/>
    </row>
    <row r="66" spans="1:6">
      <c r="B66" s="204" t="s">
        <v>69</v>
      </c>
      <c r="C66" s="190">
        <f>C63</f>
        <v>121.15426753874641</v>
      </c>
    </row>
    <row r="67" spans="1:6">
      <c r="B67" s="182" t="s">
        <v>71</v>
      </c>
    </row>
    <row r="68" spans="1:6">
      <c r="B68" s="182" t="s">
        <v>1314</v>
      </c>
      <c r="F68" s="190"/>
    </row>
    <row r="69" spans="1:6">
      <c r="B69" s="202" t="s">
        <v>578</v>
      </c>
      <c r="C69" s="204"/>
    </row>
    <row r="71" spans="1:6">
      <c r="C71" s="190"/>
    </row>
    <row r="72" spans="1:6">
      <c r="C72" s="190"/>
    </row>
    <row r="74" spans="1:6">
      <c r="C74" s="190"/>
    </row>
    <row r="75" spans="1:6">
      <c r="C75" s="192"/>
    </row>
    <row r="77" spans="1:6">
      <c r="C77" s="190"/>
    </row>
    <row r="79" spans="1:6">
      <c r="C79" s="190"/>
    </row>
    <row r="81" spans="3:3">
      <c r="C81" s="190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1BF7B-15A9-4E47-9FFE-57F91C9DDCC8}">
  <dimension ref="B2:P22"/>
  <sheetViews>
    <sheetView showGridLines="0" workbookViewId="0"/>
  </sheetViews>
  <sheetFormatPr baseColWidth="10" defaultRowHeight="15"/>
  <cols>
    <col min="2" max="2" width="16.5" customWidth="1"/>
    <col min="12" max="12" width="24.5" bestFit="1" customWidth="1"/>
    <col min="13" max="13" width="9.33203125" bestFit="1" customWidth="1"/>
    <col min="14" max="14" width="20" bestFit="1" customWidth="1"/>
    <col min="15" max="15" width="30.6640625" bestFit="1" customWidth="1"/>
    <col min="16" max="16" width="24.83203125" bestFit="1" customWidth="1"/>
  </cols>
  <sheetData>
    <row r="2" spans="2:10">
      <c r="B2" s="21" t="s">
        <v>1370</v>
      </c>
      <c r="C2" s="21">
        <v>1991</v>
      </c>
      <c r="D2" s="21">
        <v>1992</v>
      </c>
      <c r="E2" s="21">
        <v>1993</v>
      </c>
      <c r="F2" s="21">
        <v>1994</v>
      </c>
      <c r="G2" s="21">
        <v>1995</v>
      </c>
      <c r="H2" s="21">
        <v>1996</v>
      </c>
      <c r="I2" s="21">
        <v>1997</v>
      </c>
      <c r="J2" s="21">
        <v>1998</v>
      </c>
    </row>
    <row r="3" spans="2:10">
      <c r="B3" s="228">
        <v>4.93993993993994</v>
      </c>
      <c r="C3" s="27">
        <v>-2.9486363636363255E-2</v>
      </c>
      <c r="D3" s="27">
        <v>0.71558376505714638</v>
      </c>
      <c r="E3" s="27">
        <v>0.64567881601325583</v>
      </c>
      <c r="F3" s="27">
        <v>0.5485111866153034</v>
      </c>
      <c r="G3" s="27">
        <v>0.48543641685339223</v>
      </c>
      <c r="H3" s="27">
        <v>0.43850878363543533</v>
      </c>
      <c r="I3" s="27">
        <v>0.40308714437550042</v>
      </c>
      <c r="J3" s="27">
        <v>0.37491540413790347</v>
      </c>
    </row>
    <row r="4" spans="2:10">
      <c r="B4" s="229">
        <v>5.93993993993994</v>
      </c>
      <c r="C4" s="27">
        <v>1.7868772727272737</v>
      </c>
      <c r="D4" s="27">
        <v>1.2812577114032395</v>
      </c>
      <c r="E4" s="27">
        <v>0.91604117799258744</v>
      </c>
      <c r="F4" s="27">
        <v>0.70879199084747135</v>
      </c>
      <c r="G4" s="27">
        <v>0.59188878739408679</v>
      </c>
      <c r="H4" s="27">
        <v>0.51448533807076058</v>
      </c>
      <c r="I4" s="27">
        <v>0.46005257604056604</v>
      </c>
      <c r="J4" s="27">
        <v>0.4192531514136717</v>
      </c>
    </row>
    <row r="5" spans="2:10">
      <c r="B5" s="229">
        <v>6.93993993993994</v>
      </c>
      <c r="C5" s="27">
        <v>3.6032409090909105</v>
      </c>
      <c r="D5" s="27">
        <v>1.7322236066518855</v>
      </c>
      <c r="E5" s="27">
        <v>1.1261632041294498</v>
      </c>
      <c r="F5" s="27">
        <v>0.83355728206648694</v>
      </c>
      <c r="G5" s="27">
        <v>0.67571822830922734</v>
      </c>
      <c r="H5" s="27">
        <v>0.57513987533622091</v>
      </c>
      <c r="I5" s="27">
        <v>0.5061616147960819</v>
      </c>
      <c r="J5" s="27">
        <v>0.45560342565705803</v>
      </c>
    </row>
    <row r="6" spans="2:10">
      <c r="B6" s="230">
        <v>7.93993993993994</v>
      </c>
      <c r="C6" s="27">
        <v>5.419604545454547</v>
      </c>
      <c r="D6" s="27">
        <v>2.1186463293639002</v>
      </c>
      <c r="E6" s="27">
        <v>1.3013692074508487</v>
      </c>
      <c r="F6" s="27">
        <v>0.93705782606195953</v>
      </c>
      <c r="G6" s="27">
        <v>0.74550902836056565</v>
      </c>
      <c r="H6" s="27">
        <v>0.62596577414664289</v>
      </c>
      <c r="I6" s="27">
        <v>0.54509313644521606</v>
      </c>
      <c r="J6" s="27">
        <v>0.48653017425631906</v>
      </c>
    </row>
    <row r="9" spans="2:10">
      <c r="B9" s="21" t="s">
        <v>1370</v>
      </c>
      <c r="C9" s="21">
        <v>1991</v>
      </c>
      <c r="D9" s="21">
        <v>1992</v>
      </c>
      <c r="E9" s="21">
        <v>1993</v>
      </c>
      <c r="F9" s="21">
        <v>1994</v>
      </c>
      <c r="G9" s="21">
        <v>1995</v>
      </c>
      <c r="H9" s="21">
        <v>1996</v>
      </c>
      <c r="I9" s="21">
        <v>1997</v>
      </c>
      <c r="J9" s="21">
        <v>1998</v>
      </c>
    </row>
    <row r="10" spans="2:10">
      <c r="B10" s="174">
        <v>4.93993993993994</v>
      </c>
      <c r="C10" s="27">
        <v>-0.14206968456292657</v>
      </c>
      <c r="D10" s="27">
        <v>0.75280337088417171</v>
      </c>
      <c r="E10" s="27">
        <v>0.68558151227246955</v>
      </c>
      <c r="F10" s="27">
        <v>0.57912989411087379</v>
      </c>
      <c r="G10" s="27">
        <v>0.49461606320566887</v>
      </c>
      <c r="H10" s="27">
        <v>0.44814153952551106</v>
      </c>
      <c r="I10" s="27">
        <v>0.39536700796024271</v>
      </c>
      <c r="J10" s="27">
        <v>0.36610568414933131</v>
      </c>
    </row>
    <row r="11" spans="2:10">
      <c r="B11" s="175">
        <v>5.93993993993994</v>
      </c>
      <c r="C11" s="27">
        <v>1.6742939518007103</v>
      </c>
      <c r="D11" s="27">
        <v>1.3093784332352305</v>
      </c>
      <c r="E11" s="27">
        <v>0.94573441419760629</v>
      </c>
      <c r="F11" s="27">
        <v>0.73179383219607774</v>
      </c>
      <c r="G11" s="27">
        <v>0.59887348941570062</v>
      </c>
      <c r="H11" s="27">
        <v>0.52196527052961672</v>
      </c>
      <c r="I11" s="27">
        <v>0.45399694039242355</v>
      </c>
      <c r="J11" s="27">
        <v>0.41223441629954571</v>
      </c>
    </row>
    <row r="12" spans="2:10">
      <c r="B12" s="175">
        <v>6.93993993993994</v>
      </c>
      <c r="C12" s="27">
        <v>3.4906575881643471</v>
      </c>
      <c r="D12" s="27">
        <v>1.7557463306336993</v>
      </c>
      <c r="E12" s="27">
        <v>1.1503763121129067</v>
      </c>
      <c r="F12" s="27">
        <v>0.85226686801720652</v>
      </c>
      <c r="G12" s="27">
        <v>0.68141792202639118</v>
      </c>
      <c r="H12" s="27">
        <v>0.5813021768766895</v>
      </c>
      <c r="I12" s="27">
        <v>0.50114887654530116</v>
      </c>
      <c r="J12" s="27">
        <v>0.44974227253798493</v>
      </c>
    </row>
    <row r="13" spans="2:10">
      <c r="B13" s="176">
        <v>7.93993993993994</v>
      </c>
      <c r="C13" s="27">
        <v>5.3070212245279835</v>
      </c>
      <c r="D13" s="27">
        <v>2.1392749050871904</v>
      </c>
      <c r="E13" s="27">
        <v>1.3220851218572327</v>
      </c>
      <c r="F13" s="27">
        <v>0.95297305115879394</v>
      </c>
      <c r="G13" s="27">
        <v>0.75035643361094428</v>
      </c>
      <c r="H13" s="27">
        <v>0.63123216425539819</v>
      </c>
      <c r="I13" s="27">
        <v>0.5407991377738155</v>
      </c>
      <c r="J13" s="27">
        <v>0.48148226740827971</v>
      </c>
    </row>
    <row r="17" spans="12:16">
      <c r="L17" s="122" t="s">
        <v>1322</v>
      </c>
      <c r="M17" s="122" t="s">
        <v>1371</v>
      </c>
      <c r="N17" s="122" t="s">
        <v>1326</v>
      </c>
      <c r="O17" s="122" t="s">
        <v>1325</v>
      </c>
      <c r="P17" s="122" t="s">
        <v>1328</v>
      </c>
    </row>
    <row r="18" spans="12:16">
      <c r="L18" s="76" t="s">
        <v>263</v>
      </c>
      <c r="M18" s="76">
        <v>1.7</v>
      </c>
      <c r="N18" s="81">
        <v>2.8253282366627885E-2</v>
      </c>
      <c r="O18" s="136">
        <v>7.7545238095238084E-2</v>
      </c>
      <c r="P18" s="164">
        <v>8.0345192351828534E-2</v>
      </c>
    </row>
    <row r="19" spans="12:16">
      <c r="L19" s="76" t="s">
        <v>264</v>
      </c>
      <c r="M19" s="76">
        <v>32</v>
      </c>
      <c r="N19" s="81">
        <v>0.53182649160711315</v>
      </c>
      <c r="O19" s="136">
        <v>7.7545238095238084E-2</v>
      </c>
      <c r="P19" s="76"/>
    </row>
    <row r="20" spans="12:16">
      <c r="L20" s="76" t="s">
        <v>280</v>
      </c>
      <c r="M20" s="76">
        <v>15</v>
      </c>
      <c r="N20" s="81">
        <v>0.2492936679408343</v>
      </c>
      <c r="O20" s="136">
        <v>8.7522916666666659E-2</v>
      </c>
      <c r="P20" s="76"/>
    </row>
    <row r="21" spans="12:16">
      <c r="L21" s="76" t="s">
        <v>238</v>
      </c>
      <c r="M21" s="76">
        <v>11.47</v>
      </c>
      <c r="N21" s="81">
        <v>0.19062655808542464</v>
      </c>
      <c r="O21" s="136">
        <v>7.9184999999999992E-2</v>
      </c>
      <c r="P21" s="76"/>
    </row>
    <row r="22" spans="12:16">
      <c r="L22" s="76" t="s">
        <v>1327</v>
      </c>
      <c r="M22" s="76">
        <v>60.17</v>
      </c>
      <c r="N22" s="76"/>
      <c r="O22" s="76"/>
      <c r="P22" s="76"/>
    </row>
  </sheetData>
  <conditionalFormatting sqref="C3">
    <cfRule type="colorScale" priority="3">
      <colorScale>
        <cfvo type="min"/>
        <cfvo type="max"/>
        <color rgb="FF63BE7B"/>
        <color rgb="FFFCFCFF"/>
      </colorScale>
    </cfRule>
  </conditionalFormatting>
  <conditionalFormatting sqref="C10">
    <cfRule type="colorScale" priority="1">
      <colorScale>
        <cfvo type="min"/>
        <cfvo type="max"/>
        <color rgb="FF63BE7B"/>
        <color rgb="FFFCFCFF"/>
      </colorScale>
    </cfRule>
  </conditionalFormatting>
  <conditionalFormatting sqref="C3:J6">
    <cfRule type="colorScale" priority="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C10:J13"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2bffa20-3660-4abf-99fb-3d37f29cdf1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59D0150EFEFD429679039C388CD22A" ma:contentTypeVersion="8" ma:contentTypeDescription="Create a new document." ma:contentTypeScope="" ma:versionID="8b321fe8d885b7f0fb37a3a2afe03ac6">
  <xsd:schema xmlns:xsd="http://www.w3.org/2001/XMLSchema" xmlns:xs="http://www.w3.org/2001/XMLSchema" xmlns:p="http://schemas.microsoft.com/office/2006/metadata/properties" xmlns:ns3="72bffa20-3660-4abf-99fb-3d37f29cdf11" xmlns:ns4="128312c5-fc97-41e3-a589-b08502cda3f9" targetNamespace="http://schemas.microsoft.com/office/2006/metadata/properties" ma:root="true" ma:fieldsID="3e8d1a8f4f7efa00c32a5e0bc14abbf9" ns3:_="" ns4:_="">
    <xsd:import namespace="72bffa20-3660-4abf-99fb-3d37f29cdf11"/>
    <xsd:import namespace="128312c5-fc97-41e3-a589-b08502cda3f9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ffa20-3660-4abf-99fb-3d37f29cdf11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8312c5-fc97-41e3-a589-b08502cda3f9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1D61EC-3007-404A-A2D1-AE1CD27964EE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8BEE893D-222D-4648-A900-11590F9D9AAE}">
  <ds:schemaRefs>
    <ds:schemaRef ds:uri="72bffa20-3660-4abf-99fb-3d37f29cdf11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128312c5-fc97-41e3-a589-b08502cda3f9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9BC1F54-70AD-4494-86F3-2AB184C208D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78E64A2-F865-44D2-BAAB-A4F05B0D74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bffa20-3660-4abf-99fb-3d37f29cdf11"/>
    <ds:schemaRef ds:uri="128312c5-fc97-41e3-a589-b08502cda3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adee44b2-91fc-40f1-abdd-9cc29351b5fd}" enabled="0" method="" siteId="{adee44b2-91fc-40f1-abdd-9cc29351b5f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</vt:i4>
      </vt:variant>
    </vt:vector>
  </HeadingPairs>
  <TitlesOfParts>
    <vt:vector size="24" baseType="lpstr">
      <vt:lpstr>COVER</vt:lpstr>
      <vt:lpstr>Valuation--&gt;</vt:lpstr>
      <vt:lpstr>APV</vt:lpstr>
      <vt:lpstr>LBO</vt:lpstr>
      <vt:lpstr>Debt valuation</vt:lpstr>
      <vt:lpstr>Peer Group</vt:lpstr>
      <vt:lpstr>Option pricing</vt:lpstr>
      <vt:lpstr>Inputs --&gt;</vt:lpstr>
      <vt:lpstr>Exhibit 7</vt:lpstr>
      <vt:lpstr>Exhibit 8</vt:lpstr>
      <vt:lpstr>Exhibit 9</vt:lpstr>
      <vt:lpstr>Exihibit 10</vt:lpstr>
      <vt:lpstr>Exhibit 11</vt:lpstr>
      <vt:lpstr>Debt items</vt:lpstr>
      <vt:lpstr>S&amp;U</vt:lpstr>
      <vt:lpstr>P&amp;L</vt:lpstr>
      <vt:lpstr>DCM rates</vt:lpstr>
      <vt:lpstr>LIBOR rates</vt:lpstr>
      <vt:lpstr>GDP Growth</vt:lpstr>
      <vt:lpstr>Archive--&gt;</vt:lpstr>
      <vt:lpstr>Implied interest rates</vt:lpstr>
      <vt:lpstr>Backup calcs</vt:lpstr>
      <vt:lpstr>Tables</vt:lpstr>
      <vt:lpstr>COVER!Print_Area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Christoffer Ujcic</dc:creator>
  <cp:keywords/>
  <dc:description/>
  <cp:lastModifiedBy>Andreas Teien</cp:lastModifiedBy>
  <cp:revision/>
  <dcterms:created xsi:type="dcterms:W3CDTF">2024-02-29T18:13:30Z</dcterms:created>
  <dcterms:modified xsi:type="dcterms:W3CDTF">2025-02-03T13:07:24Z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0x010100A759D0150EFEFD429679039C388CD22A</vt:lpwstr>
  </property>
</Properties>
</file>