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Ex3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4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5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6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7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8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9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10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Ex11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12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steien/Desktop/02_Folders/06_Projects/02_Personal_projects/05_Website/01_Corporate_Valuation/03_Netscape/"/>
    </mc:Choice>
  </mc:AlternateContent>
  <xr:revisionPtr revIDLastSave="0" documentId="13_ncr:1_{EE40E8A6-17F6-E941-B669-B4A810A4A850}" xr6:coauthVersionLast="47" xr6:coauthVersionMax="47" xr10:uidLastSave="{00000000-0000-0000-0000-000000000000}"/>
  <bookViews>
    <workbookView xWindow="20" yWindow="740" windowWidth="28940" windowHeight="16600" activeTab="3" xr2:uid="{74CE87A0-E20C-CB43-A597-710C08880BF4}"/>
  </bookViews>
  <sheets>
    <sheet name="DCF" sheetId="1" r:id="rId1"/>
    <sheet name="Comparables" sheetId="5" r:id="rId2"/>
    <sheet name="Input--&gt;" sheetId="9" r:id="rId3"/>
    <sheet name="Fin. Statements" sheetId="2" r:id="rId4"/>
    <sheet name="Graph input" sheetId="6" r:id="rId5"/>
  </sheets>
  <definedNames>
    <definedName name="_xlchart.v1.0" hidden="1">'Graph input'!$B$25:$B$29</definedName>
    <definedName name="_xlchart.v1.1" hidden="1">'Graph input'!$C$25:$C$29</definedName>
    <definedName name="_xlchart.v1.10" hidden="1">Comparables!$C$44:$E$44</definedName>
    <definedName name="_xlchart.v1.11" hidden="1">Comparables!$B$43</definedName>
    <definedName name="_xlchart.v1.12" hidden="1">Comparables!$C$40:$E$40</definedName>
    <definedName name="_xlchart.v1.13" hidden="1">Comparables!$C$43:$E$43</definedName>
    <definedName name="_xlchart.v1.14" hidden="1">Comparables!$B$44</definedName>
    <definedName name="_xlchart.v1.15" hidden="1">Comparables!$C$40:$E$40</definedName>
    <definedName name="_xlchart.v1.16" hidden="1">Comparables!$C$44:$E$44</definedName>
    <definedName name="_xlchart.v1.17" hidden="1">Comparables!$B$42</definedName>
    <definedName name="_xlchart.v1.18" hidden="1">Comparables!$C$40:$E$40</definedName>
    <definedName name="_xlchart.v1.19" hidden="1">Comparables!$C$42:$E$42</definedName>
    <definedName name="_xlchart.v1.2" hidden="1">'Graph input'!$B$3:$B$5</definedName>
    <definedName name="_xlchart.v1.20" hidden="1">Comparables!$B$41</definedName>
    <definedName name="_xlchart.v1.21" hidden="1">Comparables!$C$40:$E$40</definedName>
    <definedName name="_xlchart.v1.22" hidden="1">Comparables!$C$41:$E$41</definedName>
    <definedName name="_xlchart.v1.23" hidden="1">Comparables!$B$43</definedName>
    <definedName name="_xlchart.v1.24" hidden="1">Comparables!$C$40:$E$40</definedName>
    <definedName name="_xlchart.v1.25" hidden="1">Comparables!$C$43:$E$43</definedName>
    <definedName name="_xlchart.v1.26" hidden="1">Comparables!$B$42</definedName>
    <definedName name="_xlchart.v1.27" hidden="1">Comparables!$C$40:$E$40</definedName>
    <definedName name="_xlchart.v1.28" hidden="1">Comparables!$C$42:$E$42</definedName>
    <definedName name="_xlchart.v1.29" hidden="1">Comparables!$B$44</definedName>
    <definedName name="_xlchart.v1.3" hidden="1">'Graph input'!$C$3:$C$5</definedName>
    <definedName name="_xlchart.v1.30" hidden="1">Comparables!$C$40:$E$40</definedName>
    <definedName name="_xlchart.v1.31" hidden="1">Comparables!$C$44:$E$44</definedName>
    <definedName name="_xlchart.v1.32" hidden="1">Comparables!$B$41</definedName>
    <definedName name="_xlchart.v1.33" hidden="1">Comparables!$C$40:$E$40</definedName>
    <definedName name="_xlchart.v1.34" hidden="1">Comparables!$C$41:$E$41</definedName>
    <definedName name="_xlchart.v1.35" hidden="1">'Graph input'!$B$3:$B$5</definedName>
    <definedName name="_xlchart.v1.36" hidden="1">'Graph input'!$C$3:$C$5</definedName>
    <definedName name="_xlchart.v1.37" hidden="1">'Graph input'!$B$25:$B$29</definedName>
    <definedName name="_xlchart.v1.38" hidden="1">'Graph input'!$C$25:$C$29</definedName>
    <definedName name="_xlchart.v1.4" hidden="1">'Graph input'!$B$25:$B$29</definedName>
    <definedName name="_xlchart.v1.5" hidden="1">'Graph input'!$C$25:$C$29</definedName>
    <definedName name="_xlchart.v1.6" hidden="1">'Graph input'!$B$3:$B$5</definedName>
    <definedName name="_xlchart.v1.7" hidden="1">'Graph input'!$C$3:$C$5</definedName>
    <definedName name="_xlchart.v1.8" hidden="1">Comparables!$B$44</definedName>
    <definedName name="_xlchart.v1.9" hidden="1">Comparables!$C$40:$E$40</definedName>
    <definedName name="solver_adj" localSheetId="0" hidden="1">DCF!$C$36:$M$36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DCF!$C$36</definedName>
    <definedName name="solver_lhs10" localSheetId="0" hidden="1">DCF!$L$36</definedName>
    <definedName name="solver_lhs2" localSheetId="0" hidden="1">DCF!$D$36</definedName>
    <definedName name="solver_lhs3" localSheetId="0" hidden="1">DCF!$E$36</definedName>
    <definedName name="solver_lhs4" localSheetId="0" hidden="1">DCF!$F$36</definedName>
    <definedName name="solver_lhs5" localSheetId="0" hidden="1">DCF!$G$36</definedName>
    <definedName name="solver_lhs6" localSheetId="0" hidden="1">DCF!$H$36</definedName>
    <definedName name="solver_lhs7" localSheetId="0" hidden="1">DCF!$I$36</definedName>
    <definedName name="solver_lhs8" localSheetId="0" hidden="1">DCF!$J$36</definedName>
    <definedName name="solver_lhs9" localSheetId="0" hidden="1">DCF!$K$36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10</definedName>
    <definedName name="solver_opt" localSheetId="0" hidden="1">DCF!$D$98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10" localSheetId="0" hidden="1">2</definedName>
    <definedName name="solver_rel2" localSheetId="0" hidden="1">2</definedName>
    <definedName name="solver_rel3" localSheetId="0" hidden="1">2</definedName>
    <definedName name="solver_rel4" localSheetId="0" hidden="1">2</definedName>
    <definedName name="solver_rel5" localSheetId="0" hidden="1">2</definedName>
    <definedName name="solver_rel6" localSheetId="0" hidden="1">2</definedName>
    <definedName name="solver_rel7" localSheetId="0" hidden="1">2</definedName>
    <definedName name="solver_rel8" localSheetId="0" hidden="1">2</definedName>
    <definedName name="solver_rel9" localSheetId="0" hidden="1">2</definedName>
    <definedName name="solver_rhs1" localSheetId="0" hidden="1">DCF!$D$36</definedName>
    <definedName name="solver_rhs10" localSheetId="0" hidden="1">DCF!$M$36</definedName>
    <definedName name="solver_rhs2" localSheetId="0" hidden="1">DCF!$E$36</definedName>
    <definedName name="solver_rhs3" localSheetId="0" hidden="1">DCF!$F$36</definedName>
    <definedName name="solver_rhs4" localSheetId="0" hidden="1">DCF!$G$36</definedName>
    <definedName name="solver_rhs5" localSheetId="0" hidden="1">DCF!$H$36</definedName>
    <definedName name="solver_rhs6" localSheetId="0" hidden="1">DCF!$I$36</definedName>
    <definedName name="solver_rhs7" localSheetId="0" hidden="1">DCF!$J$36</definedName>
    <definedName name="solver_rhs8" localSheetId="0" hidden="1">DCF!$K$36</definedName>
    <definedName name="solver_rhs9" localSheetId="0" hidden="1">DCF!$L$36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28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I79" i="1" l="1"/>
  <c r="H79" i="1" s="1"/>
  <c r="G79" i="1" s="1"/>
  <c r="J79" i="1" l="1"/>
  <c r="K79" i="1" l="1"/>
  <c r="G42" i="5"/>
  <c r="G43" i="5"/>
  <c r="G44" i="5"/>
  <c r="G41" i="5"/>
  <c r="D42" i="5"/>
  <c r="D43" i="5"/>
  <c r="D44" i="5"/>
  <c r="D41" i="5"/>
  <c r="B29" i="6"/>
  <c r="B27" i="6"/>
  <c r="B26" i="6"/>
  <c r="B25" i="6"/>
  <c r="C3" i="6"/>
  <c r="G9" i="1"/>
  <c r="H7" i="2"/>
  <c r="H11" i="2" s="1"/>
  <c r="I7" i="2"/>
  <c r="I11" i="2" s="1"/>
  <c r="H20" i="2"/>
  <c r="H23" i="2" s="1"/>
  <c r="I20" i="2"/>
  <c r="I23" i="2" s="1"/>
  <c r="H31" i="2"/>
  <c r="I31" i="2"/>
  <c r="C66" i="1"/>
  <c r="C67" i="1" s="1"/>
  <c r="D36" i="5"/>
  <c r="G36" i="5" s="1"/>
  <c r="E36" i="5"/>
  <c r="F36" i="5"/>
  <c r="C36" i="5"/>
  <c r="D35" i="5"/>
  <c r="E35" i="5"/>
  <c r="F35" i="5"/>
  <c r="C35" i="5"/>
  <c r="D34" i="5"/>
  <c r="G34" i="5" s="1"/>
  <c r="E34" i="5"/>
  <c r="F34" i="5"/>
  <c r="C34" i="5"/>
  <c r="D33" i="5"/>
  <c r="E33" i="5"/>
  <c r="F33" i="5"/>
  <c r="C33" i="5"/>
  <c r="D32" i="5"/>
  <c r="G32" i="5" s="1"/>
  <c r="E32" i="5"/>
  <c r="F32" i="5"/>
  <c r="C32" i="5"/>
  <c r="D31" i="5"/>
  <c r="E31" i="5"/>
  <c r="F31" i="5"/>
  <c r="C31" i="5"/>
  <c r="E27" i="5"/>
  <c r="F27" i="5"/>
  <c r="D27" i="5"/>
  <c r="E13" i="5"/>
  <c r="F13" i="5"/>
  <c r="D13" i="5"/>
  <c r="C13" i="5"/>
  <c r="D36" i="1"/>
  <c r="E36" i="1" s="1"/>
  <c r="F36" i="1" s="1"/>
  <c r="G36" i="1" s="1"/>
  <c r="H36" i="1" s="1"/>
  <c r="I36" i="1" s="1"/>
  <c r="J36" i="1" s="1"/>
  <c r="K36" i="1" s="1"/>
  <c r="L36" i="1" s="1"/>
  <c r="M36" i="1" s="1"/>
  <c r="M19" i="1"/>
  <c r="M28" i="1"/>
  <c r="D11" i="2"/>
  <c r="C11" i="2"/>
  <c r="D9" i="2"/>
  <c r="C9" i="2"/>
  <c r="E32" i="2"/>
  <c r="E31" i="2"/>
  <c r="E10" i="2"/>
  <c r="D33" i="2"/>
  <c r="C33" i="2"/>
  <c r="C26" i="2"/>
  <c r="D12" i="2"/>
  <c r="C12" i="2"/>
  <c r="E20" i="2"/>
  <c r="E22" i="2"/>
  <c r="E24" i="2"/>
  <c r="E18" i="2"/>
  <c r="E8" i="2"/>
  <c r="E4" i="2"/>
  <c r="E3" i="2"/>
  <c r="E5" i="2" s="1"/>
  <c r="G33" i="5" l="1"/>
  <c r="G35" i="5"/>
  <c r="G31" i="5"/>
  <c r="E25" i="2"/>
  <c r="E11" i="2"/>
  <c r="I32" i="2"/>
  <c r="E23" i="2"/>
  <c r="E33" i="2"/>
  <c r="H32" i="2"/>
  <c r="E9" i="2"/>
  <c r="E19" i="2"/>
  <c r="E21" i="2"/>
  <c r="E12" i="2"/>
  <c r="E14" i="2" s="1"/>
  <c r="D28" i="5"/>
  <c r="E28" i="5"/>
  <c r="F28" i="5"/>
  <c r="C27" i="5"/>
  <c r="C65" i="1"/>
  <c r="C51" i="1"/>
  <c r="C48" i="1"/>
  <c r="C49" i="1"/>
  <c r="J19" i="1"/>
  <c r="K19" i="1"/>
  <c r="L19" i="1"/>
  <c r="J28" i="1"/>
  <c r="K28" i="1"/>
  <c r="L28" i="1"/>
  <c r="E19" i="1"/>
  <c r="F19" i="1"/>
  <c r="G19" i="1"/>
  <c r="H19" i="1"/>
  <c r="I19" i="1"/>
  <c r="E28" i="1"/>
  <c r="F28" i="1"/>
  <c r="G28" i="1"/>
  <c r="H28" i="1"/>
  <c r="I28" i="1"/>
  <c r="D19" i="1"/>
  <c r="D28" i="1"/>
  <c r="D40" i="1"/>
  <c r="E40" i="1" s="1"/>
  <c r="F40" i="1" s="1"/>
  <c r="G40" i="1" s="1"/>
  <c r="H40" i="1" s="1"/>
  <c r="C28" i="1"/>
  <c r="C19" i="1"/>
  <c r="C14" i="1"/>
  <c r="C29" i="1" l="1"/>
  <c r="C25" i="6"/>
  <c r="C22" i="6"/>
  <c r="E15" i="2"/>
  <c r="E26" i="2"/>
  <c r="E27" i="2" s="1"/>
  <c r="C52" i="1"/>
  <c r="C28" i="5"/>
  <c r="D14" i="1"/>
  <c r="C16" i="1"/>
  <c r="C27" i="6" s="1"/>
  <c r="C17" i="1"/>
  <c r="C15" i="1"/>
  <c r="C26" i="6" s="1"/>
  <c r="F82" i="1" l="1"/>
  <c r="C28" i="6"/>
  <c r="C29" i="6"/>
  <c r="E14" i="1"/>
  <c r="D22" i="6"/>
  <c r="E29" i="2"/>
  <c r="E34" i="2"/>
  <c r="E36" i="2" s="1"/>
  <c r="C18" i="1"/>
  <c r="D29" i="1"/>
  <c r="D16" i="1"/>
  <c r="D15" i="1"/>
  <c r="F83" i="1" l="1"/>
  <c r="F81" i="1"/>
  <c r="C20" i="1"/>
  <c r="F14" i="1"/>
  <c r="E22" i="6"/>
  <c r="E30" i="2"/>
  <c r="E39" i="2"/>
  <c r="E37" i="2"/>
  <c r="E15" i="1"/>
  <c r="E29" i="1"/>
  <c r="E16" i="1"/>
  <c r="C27" i="1" l="1"/>
  <c r="C22" i="1"/>
  <c r="C23" i="1" s="1"/>
  <c r="C25" i="1" s="1"/>
  <c r="D21" i="1" s="1"/>
  <c r="F80" i="1"/>
  <c r="F84" i="1"/>
  <c r="C31" i="1"/>
  <c r="C33" i="1" s="1"/>
  <c r="C19" i="6" s="1"/>
  <c r="G14" i="1"/>
  <c r="F22" i="6"/>
  <c r="C18" i="6"/>
  <c r="F29" i="1"/>
  <c r="F16" i="1"/>
  <c r="F15" i="1"/>
  <c r="H14" i="1" l="1"/>
  <c r="G22" i="6"/>
  <c r="G29" i="1"/>
  <c r="G16" i="1"/>
  <c r="G15" i="1"/>
  <c r="I14" i="1" l="1"/>
  <c r="H22" i="6"/>
  <c r="H16" i="1"/>
  <c r="H15" i="1"/>
  <c r="H29" i="1"/>
  <c r="J14" i="1" l="1"/>
  <c r="I22" i="6"/>
  <c r="I16" i="1"/>
  <c r="I29" i="1"/>
  <c r="I15" i="1"/>
  <c r="K14" i="1" l="1"/>
  <c r="J22" i="6"/>
  <c r="J16" i="1"/>
  <c r="J15" i="1"/>
  <c r="J29" i="1"/>
  <c r="J17" i="1"/>
  <c r="L14" i="1" l="1"/>
  <c r="K22" i="6"/>
  <c r="J18" i="1"/>
  <c r="J20" i="1" s="1"/>
  <c r="K16" i="1"/>
  <c r="K17" i="1"/>
  <c r="K29" i="1"/>
  <c r="K15" i="1"/>
  <c r="M14" i="1" l="1"/>
  <c r="M22" i="6" s="1"/>
  <c r="L22" i="6"/>
  <c r="J26" i="1"/>
  <c r="J27" i="1" s="1"/>
  <c r="J31" i="1" s="1"/>
  <c r="J18" i="6" s="1"/>
  <c r="K18" i="1"/>
  <c r="K20" i="1" s="1"/>
  <c r="L16" i="1"/>
  <c r="L17" i="1"/>
  <c r="L29" i="1"/>
  <c r="L15" i="1"/>
  <c r="K26" i="1" l="1"/>
  <c r="K27" i="1" s="1"/>
  <c r="K31" i="1" s="1"/>
  <c r="K18" i="6" s="1"/>
  <c r="L18" i="1"/>
  <c r="L20" i="1" s="1"/>
  <c r="M17" i="1"/>
  <c r="M16" i="1"/>
  <c r="M29" i="1"/>
  <c r="M15" i="1"/>
  <c r="L26" i="1" l="1"/>
  <c r="L27" i="1" s="1"/>
  <c r="L31" i="1" s="1"/>
  <c r="L18" i="6" s="1"/>
  <c r="M18" i="1"/>
  <c r="M20" i="1" s="1"/>
  <c r="M26" i="1" l="1"/>
  <c r="M27" i="1" s="1"/>
  <c r="M31" i="1" s="1"/>
  <c r="M18" i="6" s="1"/>
  <c r="C56" i="1" l="1"/>
  <c r="D39" i="1"/>
  <c r="D5" i="2"/>
  <c r="C5" i="2"/>
  <c r="C27" i="2" l="1"/>
  <c r="C25" i="2"/>
  <c r="C23" i="2"/>
  <c r="C21" i="2"/>
  <c r="C19" i="2"/>
  <c r="D14" i="2"/>
  <c r="D15" i="2" s="1"/>
  <c r="D21" i="2"/>
  <c r="D25" i="2"/>
  <c r="D23" i="2"/>
  <c r="D19" i="2"/>
  <c r="C14" i="2"/>
  <c r="C58" i="1"/>
  <c r="E39" i="1"/>
  <c r="D17" i="1"/>
  <c r="D18" i="1" s="1"/>
  <c r="D20" i="1" s="1"/>
  <c r="C29" i="2" l="1"/>
  <c r="C15" i="2"/>
  <c r="D26" i="2"/>
  <c r="D27" i="1"/>
  <c r="D31" i="1" s="1"/>
  <c r="D22" i="1"/>
  <c r="D23" i="1" s="1"/>
  <c r="D25" i="1" s="1"/>
  <c r="E21" i="1" s="1"/>
  <c r="F39" i="1"/>
  <c r="E17" i="1"/>
  <c r="E18" i="1" s="1"/>
  <c r="E20" i="1" s="1"/>
  <c r="D18" i="6" l="1"/>
  <c r="D27" i="2"/>
  <c r="D29" i="2"/>
  <c r="C30" i="2"/>
  <c r="C34" i="2"/>
  <c r="C36" i="2" s="1"/>
  <c r="C37" i="2" s="1"/>
  <c r="D33" i="1"/>
  <c r="D19" i="6" s="1"/>
  <c r="E27" i="1"/>
  <c r="E31" i="1" s="1"/>
  <c r="E18" i="6" s="1"/>
  <c r="E22" i="1"/>
  <c r="E23" i="1" s="1"/>
  <c r="E25" i="1" s="1"/>
  <c r="F21" i="1" s="1"/>
  <c r="F23" i="1" s="1"/>
  <c r="G39" i="1"/>
  <c r="F17" i="1"/>
  <c r="F18" i="1" s="1"/>
  <c r="F20" i="1" s="1"/>
  <c r="E33" i="1" l="1"/>
  <c r="E19" i="6" s="1"/>
  <c r="D30" i="2"/>
  <c r="D34" i="2"/>
  <c r="D36" i="2" s="1"/>
  <c r="D37" i="2" s="1"/>
  <c r="F27" i="1"/>
  <c r="F31" i="1" s="1"/>
  <c r="F24" i="1"/>
  <c r="F25" i="1" s="1"/>
  <c r="G21" i="1" s="1"/>
  <c r="G23" i="1" s="1"/>
  <c r="H39" i="1"/>
  <c r="G17" i="1"/>
  <c r="G18" i="1" s="1"/>
  <c r="G20" i="1" s="1"/>
  <c r="G24" i="1" l="1"/>
  <c r="G25" i="1" s="1"/>
  <c r="H21" i="1" s="1"/>
  <c r="H23" i="1" s="1"/>
  <c r="F33" i="1"/>
  <c r="F19" i="6" s="1"/>
  <c r="F18" i="6"/>
  <c r="I39" i="1"/>
  <c r="I17" i="1" s="1"/>
  <c r="I18" i="1" s="1"/>
  <c r="I20" i="1" s="1"/>
  <c r="H17" i="1"/>
  <c r="H18" i="1" s="1"/>
  <c r="H20" i="1" s="1"/>
  <c r="G26" i="1" l="1"/>
  <c r="G27" i="1" s="1"/>
  <c r="G31" i="1" s="1"/>
  <c r="G33" i="1" s="1"/>
  <c r="G19" i="6" s="1"/>
  <c r="H24" i="1"/>
  <c r="H25" i="1" s="1"/>
  <c r="I21" i="1" s="1"/>
  <c r="I23" i="1" s="1"/>
  <c r="J21" i="1" s="1"/>
  <c r="J23" i="1" s="1"/>
  <c r="K21" i="1" s="1"/>
  <c r="K23" i="1" s="1"/>
  <c r="L21" i="1" s="1"/>
  <c r="L23" i="1" s="1"/>
  <c r="M21" i="1" s="1"/>
  <c r="M23" i="1" s="1"/>
  <c r="G18" i="6"/>
  <c r="I26" i="1"/>
  <c r="I27" i="1" s="1"/>
  <c r="I31" i="1" s="1"/>
  <c r="H26" i="1" l="1"/>
  <c r="H27" i="1" s="1"/>
  <c r="H31" i="1" s="1"/>
  <c r="H18" i="6" s="1"/>
  <c r="K80" i="1"/>
  <c r="I83" i="1"/>
  <c r="H83" i="1"/>
  <c r="J82" i="1"/>
  <c r="G83" i="1"/>
  <c r="H82" i="1"/>
  <c r="J80" i="1"/>
  <c r="G80" i="1"/>
  <c r="K81" i="1"/>
  <c r="G84" i="1"/>
  <c r="K82" i="1"/>
  <c r="E33" i="6" s="1"/>
  <c r="G82" i="1"/>
  <c r="C33" i="6" s="1"/>
  <c r="J84" i="1"/>
  <c r="I82" i="1"/>
  <c r="H81" i="1"/>
  <c r="H84" i="1"/>
  <c r="J83" i="1"/>
  <c r="K84" i="1"/>
  <c r="K83" i="1"/>
  <c r="I84" i="1"/>
  <c r="C34" i="6" s="1"/>
  <c r="G81" i="1"/>
  <c r="J81" i="1"/>
  <c r="I80" i="1"/>
  <c r="E34" i="6" s="1"/>
  <c r="I81" i="1"/>
  <c r="H80" i="1"/>
  <c r="I18" i="6"/>
  <c r="C11" i="1"/>
  <c r="L33" i="1"/>
  <c r="L19" i="6" s="1"/>
  <c r="H33" i="1"/>
  <c r="H19" i="6" s="1"/>
  <c r="J33" i="1"/>
  <c r="J19" i="6" s="1"/>
  <c r="M33" i="1"/>
  <c r="M19" i="6" s="1"/>
  <c r="I33" i="1"/>
  <c r="I19" i="6" s="1"/>
  <c r="K33" i="1"/>
  <c r="K19" i="6" s="1"/>
  <c r="C57" i="1"/>
  <c r="D34" i="6" l="1"/>
  <c r="D33" i="6"/>
  <c r="C59" i="1"/>
  <c r="K23" i="6" l="1"/>
  <c r="E23" i="6"/>
  <c r="C23" i="6"/>
  <c r="H23" i="6"/>
  <c r="L23" i="6"/>
  <c r="F23" i="6"/>
  <c r="M23" i="6"/>
  <c r="G23" i="6"/>
  <c r="I23" i="6"/>
  <c r="J23" i="6"/>
  <c r="D23" i="6"/>
  <c r="C74" i="1"/>
  <c r="C72" i="1"/>
  <c r="C62" i="1"/>
  <c r="C68" i="1" l="1"/>
  <c r="C69" i="1"/>
  <c r="C71" i="1" l="1"/>
  <c r="C10" i="1"/>
  <c r="C9" i="1"/>
  <c r="C5" i="6" s="1"/>
  <c r="C4" i="6" s="1"/>
  <c r="D71" i="1"/>
  <c r="C73" i="1"/>
  <c r="B10" i="1" l="1"/>
  <c r="G10" i="1"/>
  <c r="G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Christoffer Ujcic</author>
  </authors>
  <commentList>
    <comment ref="C21" authorId="0" shapeId="0" xr:uid="{F43E3ED9-14CB-46C5-AC6E-6D2A6B34B9BD}">
      <text>
        <r>
          <rPr>
            <b/>
            <sz val="9"/>
            <color indexed="81"/>
            <rFont val="Tahoma"/>
            <family val="2"/>
          </rPr>
          <t>Christoffer Ujcic:</t>
        </r>
        <r>
          <rPr>
            <sz val="9"/>
            <color indexed="81"/>
            <rFont val="Tahoma"/>
            <family val="2"/>
          </rPr>
          <t xml:space="preserve">
IPO prospectus Netscape, p.73</t>
        </r>
      </text>
    </comment>
  </commentList>
</comments>
</file>

<file path=xl/sharedStrings.xml><?xml version="1.0" encoding="utf-8"?>
<sst xmlns="http://schemas.openxmlformats.org/spreadsheetml/2006/main" count="247" uniqueCount="187">
  <si>
    <t>Other operating expenses</t>
  </si>
  <si>
    <t>CAPEX</t>
  </si>
  <si>
    <t>Product revenues</t>
  </si>
  <si>
    <t>Service revenues</t>
  </si>
  <si>
    <t>Revenues</t>
  </si>
  <si>
    <t>Cost of revenues:</t>
  </si>
  <si>
    <t>Revenues:</t>
  </si>
  <si>
    <t>Cost of product revenues</t>
  </si>
  <si>
    <t>Cost of service revenues</t>
  </si>
  <si>
    <t>R&amp;D</t>
  </si>
  <si>
    <t>Sales and marketing</t>
  </si>
  <si>
    <t>General and administrative</t>
  </si>
  <si>
    <t>Property rights agreement and related charges</t>
  </si>
  <si>
    <t>Interest income</t>
  </si>
  <si>
    <t>EBITDA</t>
  </si>
  <si>
    <t>Depreciation</t>
  </si>
  <si>
    <t>EBIT</t>
  </si>
  <si>
    <t>Deferred compensations</t>
  </si>
  <si>
    <t>Deferred revenues</t>
  </si>
  <si>
    <t>NOPAT</t>
  </si>
  <si>
    <t>Increase in WC</t>
  </si>
  <si>
    <t>TV</t>
  </si>
  <si>
    <t>Operating expenses:</t>
  </si>
  <si>
    <t>Total Operating Expenses</t>
  </si>
  <si>
    <t>Total Cost of Revenues</t>
  </si>
  <si>
    <t>Total Revenues</t>
  </si>
  <si>
    <t>Interest expense</t>
  </si>
  <si>
    <t>Net loss per share</t>
  </si>
  <si>
    <t>Shares used in computing net loss per share</t>
  </si>
  <si>
    <t>Inception (April 4 to December 31, 1994)</t>
  </si>
  <si>
    <t>Assets</t>
  </si>
  <si>
    <t>Cash and short-term equivalents</t>
  </si>
  <si>
    <t>Short-term investments</t>
  </si>
  <si>
    <t>Accounts receivable</t>
  </si>
  <si>
    <t>Other current assets</t>
  </si>
  <si>
    <t>Total current assets</t>
  </si>
  <si>
    <t>Net PPE</t>
  </si>
  <si>
    <t>Deposits and other assets</t>
  </si>
  <si>
    <t>Total assets</t>
  </si>
  <si>
    <t>Liabilities and Stockholders' equity</t>
  </si>
  <si>
    <t>Accounts payable</t>
  </si>
  <si>
    <t>Accrued compensation and related liabilities</t>
  </si>
  <si>
    <t>Other accrued liabilities</t>
  </si>
  <si>
    <t>current portion of long-term obligations</t>
  </si>
  <si>
    <t>Installment notes payable</t>
  </si>
  <si>
    <t>Total current liabilities</t>
  </si>
  <si>
    <t>Long-term obligations</t>
  </si>
  <si>
    <t>Total liabilities</t>
  </si>
  <si>
    <t>Preferred stock, $0.0001 par value</t>
  </si>
  <si>
    <t>Common stock, $0.0001 par value</t>
  </si>
  <si>
    <t>Additional paid-in capital</t>
  </si>
  <si>
    <t>Notes receivable from stockholders</t>
  </si>
  <si>
    <t>Accumulated deficit</t>
  </si>
  <si>
    <t>Accumulated translation adjustment</t>
  </si>
  <si>
    <t>Total Stockholders' equity</t>
  </si>
  <si>
    <t>Total liabilities and Stockholders' equity</t>
  </si>
  <si>
    <t>December 31, 1994</t>
  </si>
  <si>
    <t>June 30, 1995</t>
  </si>
  <si>
    <t>-</t>
  </si>
  <si>
    <t>Total cost (% of revenue)</t>
  </si>
  <si>
    <t>R&amp;D (% of revenue)</t>
  </si>
  <si>
    <t>Other operating expenses (% of revenue)</t>
  </si>
  <si>
    <t>CAPEX (% of revenue)</t>
  </si>
  <si>
    <t>Changes in NWC</t>
  </si>
  <si>
    <t>Risk-free rate</t>
  </si>
  <si>
    <t>Effective tax rate</t>
  </si>
  <si>
    <t>Beta</t>
  </si>
  <si>
    <t>Tax (35%)</t>
  </si>
  <si>
    <t>Revenue growth rate</t>
  </si>
  <si>
    <t>Shares outstanding</t>
  </si>
  <si>
    <t>PV FCF</t>
  </si>
  <si>
    <t>PV TV</t>
  </si>
  <si>
    <t>EV</t>
  </si>
  <si>
    <t>Depreciation (6,761,045 * 2)</t>
  </si>
  <si>
    <t>Cumulative FCF (Break-even)</t>
  </si>
  <si>
    <t>TV/EV - ratio</t>
  </si>
  <si>
    <t>Price per share</t>
  </si>
  <si>
    <t>Cost of equity</t>
  </si>
  <si>
    <t>Cost of debt (risk free)?</t>
  </si>
  <si>
    <t>WACC</t>
  </si>
  <si>
    <t>Growth rate (g) after 2005 (3,5%)</t>
  </si>
  <si>
    <t>Equity</t>
  </si>
  <si>
    <t>New shares issued</t>
  </si>
  <si>
    <t xml:space="preserve">Opening Balance </t>
  </si>
  <si>
    <t>Current loss</t>
  </si>
  <si>
    <t>Loss used</t>
  </si>
  <si>
    <t xml:space="preserve">Closing balance </t>
  </si>
  <si>
    <t xml:space="preserve">Subtotal </t>
  </si>
  <si>
    <t>Products gross margin (%)</t>
  </si>
  <si>
    <t>Services gross margin (%)</t>
  </si>
  <si>
    <t>% of sales</t>
  </si>
  <si>
    <t>Net interest</t>
  </si>
  <si>
    <t>Earnings before taxes</t>
  </si>
  <si>
    <t>Net income (loss)</t>
  </si>
  <si>
    <t>Operating profit (loss)</t>
  </si>
  <si>
    <t>COGS</t>
  </si>
  <si>
    <t>Total Gross profit</t>
  </si>
  <si>
    <t>Taxes (35%)</t>
  </si>
  <si>
    <t>Total gross margin (%)</t>
  </si>
  <si>
    <t>Operating margin (%)</t>
  </si>
  <si>
    <t>Net income margin (%)</t>
  </si>
  <si>
    <t>Market cap.</t>
  </si>
  <si>
    <t>Cash and short-term investments</t>
  </si>
  <si>
    <t>Total Debt</t>
  </si>
  <si>
    <t>Netscape</t>
  </si>
  <si>
    <t>Microsoft</t>
  </si>
  <si>
    <t>Spyglass</t>
  </si>
  <si>
    <t>Net revenues</t>
  </si>
  <si>
    <t>Operating expenses</t>
  </si>
  <si>
    <t>Operating income</t>
  </si>
  <si>
    <t>Net income</t>
  </si>
  <si>
    <t>Earnings per share</t>
  </si>
  <si>
    <t>Weighted average shares outstanding</t>
  </si>
  <si>
    <t>Capital expenditure</t>
  </si>
  <si>
    <t>Depreciation, depletion, and amortization</t>
  </si>
  <si>
    <t>Current assets</t>
  </si>
  <si>
    <t>Current liabilities</t>
  </si>
  <si>
    <t>Current ratio</t>
  </si>
  <si>
    <t>America Online</t>
  </si>
  <si>
    <t>Net worth (equity)</t>
  </si>
  <si>
    <t>Ratios</t>
  </si>
  <si>
    <t>Stock price</t>
  </si>
  <si>
    <t>Market cap</t>
  </si>
  <si>
    <t>Price per share with greenshoe</t>
  </si>
  <si>
    <t>Asset turnover</t>
  </si>
  <si>
    <t>Return on equity</t>
  </si>
  <si>
    <t>Debt to equity</t>
  </si>
  <si>
    <t>Capex to sales</t>
  </si>
  <si>
    <t>Net profit margin</t>
  </si>
  <si>
    <t>Free cash flow to the firm</t>
  </si>
  <si>
    <t>FREE CASH FLOW TO THE FIRM</t>
  </si>
  <si>
    <t>FCFF</t>
  </si>
  <si>
    <t>Market risk premium</t>
  </si>
  <si>
    <t>Debt/capital</t>
  </si>
  <si>
    <t>Equity/capital</t>
  </si>
  <si>
    <t>Original Share price</t>
  </si>
  <si>
    <t>Company</t>
  </si>
  <si>
    <t>IPO-price</t>
  </si>
  <si>
    <t>IPO-date</t>
  </si>
  <si>
    <t>Sector</t>
  </si>
  <si>
    <t>Alpha Technology Group</t>
  </si>
  <si>
    <t>Cloud-based IT services</t>
  </si>
  <si>
    <t>Global Mofy metaverse</t>
  </si>
  <si>
    <t>Metaverse</t>
  </si>
  <si>
    <t>Linkage Global</t>
  </si>
  <si>
    <t>E-commerce</t>
  </si>
  <si>
    <t>Klaviyo</t>
  </si>
  <si>
    <t>Software platform</t>
  </si>
  <si>
    <t>Average</t>
  </si>
  <si>
    <t>Ticker</t>
  </si>
  <si>
    <t>IPO price</t>
  </si>
  <si>
    <t>Fair price</t>
  </si>
  <si>
    <t>IRR</t>
  </si>
  <si>
    <t>NASDAQ:NSCP</t>
  </si>
  <si>
    <t>Market data</t>
  </si>
  <si>
    <t>Shares</t>
  </si>
  <si>
    <t>Price</t>
  </si>
  <si>
    <t>New shares</t>
  </si>
  <si>
    <t>Mkt. Cap fair price</t>
  </si>
  <si>
    <t>Mkt. Cap original price</t>
  </si>
  <si>
    <t>Change ($)</t>
  </si>
  <si>
    <t>Waterfall chart</t>
  </si>
  <si>
    <t>Mispricing</t>
  </si>
  <si>
    <t>EV/EBITDA</t>
  </si>
  <si>
    <t>Change (%)</t>
  </si>
  <si>
    <t>1. day close</t>
  </si>
  <si>
    <t>Netscape Communications Corporation</t>
  </si>
  <si>
    <t>CEO: James Love Barksdale</t>
  </si>
  <si>
    <t>Assumptions and input</t>
  </si>
  <si>
    <t>Cumulative FCF</t>
  </si>
  <si>
    <t xml:space="preserve"> 12 months Ended Dec 30, 1995</t>
  </si>
  <si>
    <t>6 months Ended June 30, 1995</t>
  </si>
  <si>
    <t>Revenue</t>
  </si>
  <si>
    <t>EV/revenue</t>
  </si>
  <si>
    <t>Comparables 2024</t>
  </si>
  <si>
    <t>OPEX</t>
  </si>
  <si>
    <t>FCF Break-down</t>
  </si>
  <si>
    <t>Revenue vs. EV/Revenue</t>
  </si>
  <si>
    <t xml:space="preserve">Terminal growth </t>
  </si>
  <si>
    <t>Low</t>
  </si>
  <si>
    <t>High</t>
  </si>
  <si>
    <t>Diff</t>
  </si>
  <si>
    <t>Change in Wacc</t>
  </si>
  <si>
    <t>Change in revenue growth</t>
  </si>
  <si>
    <t>x</t>
  </si>
  <si>
    <t>Greenshoe option (15%)</t>
  </si>
  <si>
    <t>Revenue 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</si>
</sst>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NOK&quot;\ * #,##0.00_-;\-&quot;NOK&quot;\ * #,##0.00_-;_-&quot;NOK&quot;\ * &quot;-&quot;??_-;_-@_-"/>
    <numFmt numFmtId="164" formatCode="0.0%"/>
    <numFmt numFmtId="165" formatCode="0.000"/>
    <numFmt numFmtId="166" formatCode="#,##0.0"/>
    <numFmt numFmtId="167" formatCode="0.0\ %"/>
    <numFmt numFmtId="168" formatCode="_-[$$-409]* #,##0.0_ ;_-[$$-409]* \-#,##0.0\ ;_-[$$-409]* &quot;-&quot;?_ ;_-@_ "/>
    <numFmt numFmtId="169" formatCode="_-[$$-409]* #,##0.00_ ;_-[$$-409]* \-#,##0.00\ ;_-[$$-409]* &quot;-&quot;??_ ;_-@_ "/>
    <numFmt numFmtId="170" formatCode="_-[$$-409]* #,##0_ ;_-[$$-409]* \-#,##0\ ;_-[$$-409]* &quot;-&quot;_ ;_-@_ 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6"/>
      <color theme="2" tint="-0.499984740745262"/>
      <name val="Helvetica Neue"/>
      <family val="2"/>
    </font>
    <font>
      <sz val="12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ptos"/>
    </font>
    <font>
      <sz val="16"/>
      <color theme="1"/>
      <name val="Aptos"/>
    </font>
    <font>
      <sz val="14"/>
      <color theme="1"/>
      <name val="Apto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2"/>
    </xf>
    <xf numFmtId="2" fontId="0" fillId="0" borderId="0" xfId="0" applyNumberFormat="1"/>
    <xf numFmtId="3" fontId="0" fillId="0" borderId="0" xfId="1" applyNumberFormat="1" applyFont="1"/>
    <xf numFmtId="3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3" fontId="0" fillId="0" borderId="1" xfId="1" applyNumberFormat="1" applyFont="1" applyBorder="1"/>
    <xf numFmtId="3" fontId="0" fillId="0" borderId="0" xfId="0" applyNumberFormat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2" xfId="0" applyFont="1" applyBorder="1"/>
    <xf numFmtId="3" fontId="2" fillId="0" borderId="2" xfId="0" applyNumberFormat="1" applyFont="1" applyBorder="1"/>
    <xf numFmtId="10" fontId="0" fillId="0" borderId="0" xfId="2" applyNumberFormat="1" applyFont="1"/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4" fillId="0" borderId="0" xfId="0" applyFont="1" applyAlignment="1">
      <alignment horizontal="left" indent="2"/>
    </xf>
    <xf numFmtId="9" fontId="4" fillId="0" borderId="0" xfId="2" applyFont="1"/>
    <xf numFmtId="0" fontId="4" fillId="0" borderId="0" xfId="0" applyFont="1" applyAlignment="1">
      <alignment horizontal="left" indent="3"/>
    </xf>
    <xf numFmtId="16" fontId="0" fillId="0" borderId="0" xfId="0" applyNumberFormat="1"/>
    <xf numFmtId="9" fontId="4" fillId="0" borderId="0" xfId="2" applyFont="1" applyBorder="1"/>
    <xf numFmtId="3" fontId="0" fillId="0" borderId="2" xfId="1" applyNumberFormat="1" applyFont="1" applyBorder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9" fontId="0" fillId="0" borderId="0" xfId="0" applyNumberFormat="1"/>
    <xf numFmtId="0" fontId="0" fillId="2" borderId="0" xfId="0" applyFill="1"/>
    <xf numFmtId="0" fontId="0" fillId="2" borderId="6" xfId="0" applyFill="1" applyBorder="1"/>
    <xf numFmtId="0" fontId="0" fillId="2" borderId="7" xfId="0" applyFill="1" applyBorder="1" applyAlignment="1">
      <alignment horizontal="right"/>
    </xf>
    <xf numFmtId="10" fontId="0" fillId="2" borderId="7" xfId="2" applyNumberFormat="1" applyFont="1" applyFill="1" applyBorder="1"/>
    <xf numFmtId="0" fontId="0" fillId="2" borderId="8" xfId="0" applyFill="1" applyBorder="1"/>
    <xf numFmtId="0" fontId="0" fillId="2" borderId="3" xfId="0" applyFill="1" applyBorder="1"/>
    <xf numFmtId="3" fontId="2" fillId="2" borderId="1" xfId="0" applyNumberFormat="1" applyFont="1" applyFill="1" applyBorder="1"/>
    <xf numFmtId="0" fontId="0" fillId="2" borderId="1" xfId="0" applyFill="1" applyBorder="1"/>
    <xf numFmtId="3" fontId="0" fillId="2" borderId="0" xfId="0" applyNumberFormat="1" applyFill="1"/>
    <xf numFmtId="3" fontId="0" fillId="2" borderId="7" xfId="0" applyNumberFormat="1" applyFill="1" applyBorder="1"/>
    <xf numFmtId="0" fontId="0" fillId="2" borderId="4" xfId="0" applyFill="1" applyBorder="1"/>
    <xf numFmtId="3" fontId="0" fillId="2" borderId="5" xfId="0" applyNumberFormat="1" applyFill="1" applyBorder="1"/>
    <xf numFmtId="9" fontId="0" fillId="2" borderId="0" xfId="2" applyFont="1" applyFill="1" applyBorder="1"/>
    <xf numFmtId="2" fontId="0" fillId="2" borderId="7" xfId="0" applyNumberFormat="1" applyFill="1" applyBorder="1"/>
    <xf numFmtId="3" fontId="0" fillId="2" borderId="9" xfId="0" applyNumberFormat="1" applyFill="1" applyBorder="1"/>
    <xf numFmtId="0" fontId="0" fillId="2" borderId="11" xfId="0" applyFill="1" applyBorder="1"/>
    <xf numFmtId="4" fontId="2" fillId="2" borderId="7" xfId="0" applyNumberFormat="1" applyFont="1" applyFill="1" applyBorder="1"/>
    <xf numFmtId="2" fontId="0" fillId="2" borderId="9" xfId="2" applyNumberFormat="1" applyFont="1" applyFill="1" applyBorder="1"/>
    <xf numFmtId="0" fontId="0" fillId="2" borderId="0" xfId="0" applyFill="1" applyAlignment="1">
      <alignment horizontal="right"/>
    </xf>
    <xf numFmtId="170" fontId="0" fillId="2" borderId="0" xfId="0" applyNumberFormat="1" applyFill="1"/>
    <xf numFmtId="169" fontId="0" fillId="2" borderId="0" xfId="0" applyNumberFormat="1" applyFill="1"/>
    <xf numFmtId="10" fontId="0" fillId="2" borderId="0" xfId="2" applyNumberFormat="1" applyFont="1" applyFill="1" applyBorder="1"/>
    <xf numFmtId="9" fontId="0" fillId="2" borderId="0" xfId="0" applyNumberFormat="1" applyFill="1"/>
    <xf numFmtId="3" fontId="2" fillId="2" borderId="0" xfId="0" applyNumberFormat="1" applyFont="1" applyFill="1"/>
    <xf numFmtId="0" fontId="0" fillId="2" borderId="0" xfId="0" applyFill="1" applyAlignment="1">
      <alignment horizontal="left" indent="1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right"/>
    </xf>
    <xf numFmtId="164" fontId="0" fillId="2" borderId="0" xfId="0" applyNumberFormat="1" applyFill="1"/>
    <xf numFmtId="10" fontId="0" fillId="2" borderId="0" xfId="0" applyNumberFormat="1" applyFill="1"/>
    <xf numFmtId="10" fontId="0" fillId="2" borderId="0" xfId="0" applyNumberFormat="1" applyFill="1" applyAlignment="1">
      <alignment horizontal="right"/>
    </xf>
    <xf numFmtId="165" fontId="0" fillId="2" borderId="0" xfId="0" applyNumberFormat="1" applyFill="1"/>
    <xf numFmtId="2" fontId="0" fillId="2" borderId="0" xfId="0" applyNumberFormat="1" applyFill="1"/>
    <xf numFmtId="0" fontId="7" fillId="2" borderId="0" xfId="0" applyFont="1" applyFill="1"/>
    <xf numFmtId="0" fontId="8" fillId="2" borderId="0" xfId="0" applyFont="1" applyFill="1"/>
    <xf numFmtId="168" fontId="2" fillId="2" borderId="0" xfId="1" applyNumberFormat="1" applyFont="1" applyFill="1" applyBorder="1"/>
    <xf numFmtId="14" fontId="0" fillId="2" borderId="0" xfId="0" applyNumberFormat="1" applyFill="1" applyAlignment="1">
      <alignment horizontal="right"/>
    </xf>
    <xf numFmtId="164" fontId="0" fillId="2" borderId="0" xfId="2" applyNumberFormat="1" applyFont="1" applyFill="1" applyBorder="1"/>
    <xf numFmtId="0" fontId="3" fillId="2" borderId="0" xfId="0" applyFont="1" applyFill="1"/>
    <xf numFmtId="9" fontId="2" fillId="2" borderId="0" xfId="0" applyNumberFormat="1" applyFont="1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2" applyFont="1" applyFill="1" applyBorder="1" applyAlignment="1">
      <alignment horizontal="center"/>
    </xf>
    <xf numFmtId="4" fontId="0" fillId="2" borderId="0" xfId="0" applyNumberFormat="1" applyFill="1"/>
    <xf numFmtId="0" fontId="5" fillId="2" borderId="0" xfId="0" applyFont="1" applyFill="1"/>
    <xf numFmtId="0" fontId="2" fillId="2" borderId="3" xfId="0" applyFont="1" applyFill="1" applyBorder="1"/>
    <xf numFmtId="3" fontId="8" fillId="2" borderId="0" xfId="0" applyNumberFormat="1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/>
    <xf numFmtId="3" fontId="2" fillId="2" borderId="2" xfId="0" applyNumberFormat="1" applyFont="1" applyFill="1" applyBorder="1"/>
    <xf numFmtId="3" fontId="0" fillId="2" borderId="10" xfId="0" applyNumberFormat="1" applyFill="1" applyBorder="1"/>
    <xf numFmtId="3" fontId="0" fillId="2" borderId="0" xfId="0" applyNumberFormat="1" applyFill="1" applyAlignment="1">
      <alignment horizontal="center"/>
    </xf>
    <xf numFmtId="0" fontId="2" fillId="3" borderId="3" xfId="0" applyFont="1" applyFill="1" applyBorder="1"/>
    <xf numFmtId="0" fontId="0" fillId="2" borderId="2" xfId="0" applyFill="1" applyBorder="1"/>
    <xf numFmtId="3" fontId="0" fillId="2" borderId="2" xfId="0" applyNumberFormat="1" applyFill="1" applyBorder="1"/>
    <xf numFmtId="0" fontId="2" fillId="2" borderId="0" xfId="0" applyFont="1" applyFill="1" applyAlignment="1">
      <alignment horizontal="center"/>
    </xf>
    <xf numFmtId="10" fontId="0" fillId="2" borderId="0" xfId="2" applyNumberFormat="1" applyFont="1" applyFill="1"/>
    <xf numFmtId="166" fontId="0" fillId="2" borderId="0" xfId="0" applyNumberFormat="1" applyFill="1"/>
    <xf numFmtId="2" fontId="0" fillId="2" borderId="1" xfId="0" applyNumberForma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3" xfId="0" applyFont="1" applyFill="1" applyBorder="1" applyAlignment="1">
      <alignment horizontal="right"/>
    </xf>
    <xf numFmtId="2" fontId="0" fillId="2" borderId="12" xfId="0" applyNumberFormat="1" applyFill="1" applyBorder="1"/>
    <xf numFmtId="2" fontId="6" fillId="2" borderId="0" xfId="0" applyNumberFormat="1" applyFont="1" applyFill="1"/>
    <xf numFmtId="2" fontId="6" fillId="2" borderId="3" xfId="0" applyNumberFormat="1" applyFont="1" applyFill="1" applyBorder="1"/>
    <xf numFmtId="2" fontId="0" fillId="2" borderId="3" xfId="0" applyNumberFormat="1" applyFill="1" applyBorder="1"/>
    <xf numFmtId="2" fontId="0" fillId="2" borderId="9" xfId="0" applyNumberFormat="1" applyFill="1" applyBorder="1"/>
    <xf numFmtId="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167" fontId="0" fillId="2" borderId="0" xfId="0" applyNumberFormat="1" applyFill="1"/>
    <xf numFmtId="0" fontId="0" fillId="2" borderId="3" xfId="0" applyFill="1" applyBorder="1" applyAlignment="1">
      <alignment horizontal="right"/>
    </xf>
    <xf numFmtId="9" fontId="0" fillId="2" borderId="3" xfId="0" applyNumberFormat="1" applyFill="1" applyBorder="1"/>
    <xf numFmtId="15" fontId="0" fillId="2" borderId="3" xfId="0" applyNumberForma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15" fontId="0" fillId="2" borderId="0" xfId="0" applyNumberFormat="1" applyFill="1" applyAlignment="1">
      <alignment horizontal="right"/>
    </xf>
    <xf numFmtId="15" fontId="0" fillId="2" borderId="1" xfId="0" applyNumberFormat="1" applyFill="1" applyBorder="1" applyAlignment="1">
      <alignment horizontal="right"/>
    </xf>
    <xf numFmtId="3" fontId="0" fillId="2" borderId="12" xfId="0" applyNumberFormat="1" applyFill="1" applyBorder="1"/>
    <xf numFmtId="0" fontId="2" fillId="2" borderId="3" xfId="0" applyFont="1" applyFill="1" applyBorder="1" applyAlignment="1">
      <alignment horizontal="center" wrapText="1"/>
    </xf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4" fontId="13" fillId="2" borderId="0" xfId="0" applyNumberFormat="1" applyFont="1" applyFill="1" applyAlignment="1">
      <alignment horizontal="center" vertical="center"/>
    </xf>
    <xf numFmtId="10" fontId="13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right" vertical="center" textRotation="90"/>
    </xf>
    <xf numFmtId="10" fontId="13" fillId="2" borderId="7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Alignment="1">
      <alignment horizontal="center" vertical="center"/>
    </xf>
    <xf numFmtId="10" fontId="13" fillId="2" borderId="7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 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7C85"/>
      <color rgb="FFFF6464"/>
      <color rgb="FF7EC0C5"/>
      <color rgb="FFC1D9D8"/>
      <color rgb="FFE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Free Cash Flow Analysis and Cumulative Growth (1995–2005)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NO"/>
        </a:p>
      </c:txPr>
    </c:title>
    <c:autoTitleDeleted val="0"/>
    <c:plotArea>
      <c:layout>
        <c:manualLayout>
          <c:layoutTarget val="inner"/>
          <c:xMode val="edge"/>
          <c:yMode val="edge"/>
          <c:x val="9.2030935177211462E-2"/>
          <c:y val="0.15092291987738557"/>
          <c:w val="0.88835992445648526"/>
          <c:h val="0.58815043880608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input'!$B$18</c:f>
              <c:strCache>
                <c:ptCount val="1"/>
                <c:pt idx="0">
                  <c:v>FCFF</c:v>
                </c:pt>
              </c:strCache>
            </c:strRef>
          </c:tx>
          <c:spPr>
            <a:solidFill>
              <a:srgbClr val="7EC0C5"/>
            </a:solidFill>
            <a:ln>
              <a:noFill/>
            </a:ln>
            <a:effectLst/>
          </c:spPr>
          <c:invertIfNegative val="0"/>
          <c:cat>
            <c:numRef>
              <c:f>'Graph input'!$C$17:$M$17</c:f>
              <c:numCache>
                <c:formatCode>General</c:formatCode>
                <c:ptCount val="1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</c:numCache>
            </c:numRef>
          </c:cat>
          <c:val>
            <c:numRef>
              <c:f>'Graph input'!$C$18:$M$18</c:f>
              <c:numCache>
                <c:formatCode>#,##0</c:formatCode>
                <c:ptCount val="11"/>
                <c:pt idx="0">
                  <c:v>-22736.884731600003</c:v>
                </c:pt>
                <c:pt idx="1">
                  <c:v>-33550.925725520006</c:v>
                </c:pt>
                <c:pt idx="2">
                  <c:v>-43345.860731023473</c:v>
                </c:pt>
                <c:pt idx="3">
                  <c:v>-44637.972196776034</c:v>
                </c:pt>
                <c:pt idx="4">
                  <c:v>-26496.153749483168</c:v>
                </c:pt>
                <c:pt idx="5">
                  <c:v>2578.0916652423293</c:v>
                </c:pt>
                <c:pt idx="6">
                  <c:v>90782.173024939926</c:v>
                </c:pt>
                <c:pt idx="7">
                  <c:v>128665.57214346238</c:v>
                </c:pt>
                <c:pt idx="8">
                  <c:v>166418.20419703715</c:v>
                </c:pt>
                <c:pt idx="9">
                  <c:v>200934.7498548209</c:v>
                </c:pt>
                <c:pt idx="10">
                  <c:v>224817.54612445651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E-634E-BFA7-964E6132E9C1}"/>
            </c:ext>
          </c:extLst>
        </c:ser>
        <c:ser>
          <c:idx val="1"/>
          <c:order val="1"/>
          <c:tx>
            <c:strRef>
              <c:f>'Graph input'!$B$19</c:f>
              <c:strCache>
                <c:ptCount val="1"/>
                <c:pt idx="0">
                  <c:v>Cumulative FCF</c:v>
                </c:pt>
              </c:strCache>
            </c:strRef>
          </c:tx>
          <c:spPr>
            <a:solidFill>
              <a:srgbClr val="007C85"/>
            </a:solidFill>
            <a:ln>
              <a:noFill/>
            </a:ln>
            <a:effectLst/>
          </c:spPr>
          <c:invertIfNegative val="0"/>
          <c:cat>
            <c:numRef>
              <c:f>'Graph input'!$C$17:$M$17</c:f>
              <c:numCache>
                <c:formatCode>General</c:formatCode>
                <c:ptCount val="1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</c:numCache>
            </c:numRef>
          </c:cat>
          <c:val>
            <c:numRef>
              <c:f>'Graph input'!$C$19:$M$19</c:f>
              <c:numCache>
                <c:formatCode>#,##0</c:formatCode>
                <c:ptCount val="11"/>
                <c:pt idx="0">
                  <c:v>-22736.884731600003</c:v>
                </c:pt>
                <c:pt idx="1">
                  <c:v>-56287.810457120002</c:v>
                </c:pt>
                <c:pt idx="2">
                  <c:v>-99633.671188143475</c:v>
                </c:pt>
                <c:pt idx="3">
                  <c:v>-144271.64338491953</c:v>
                </c:pt>
                <c:pt idx="4">
                  <c:v>-170767.7971344027</c:v>
                </c:pt>
                <c:pt idx="5">
                  <c:v>-168189.70546916037</c:v>
                </c:pt>
                <c:pt idx="6">
                  <c:v>-77407.532444220458</c:v>
                </c:pt>
                <c:pt idx="7">
                  <c:v>51258.039699241934</c:v>
                </c:pt>
                <c:pt idx="8">
                  <c:v>217676.24389627911</c:v>
                </c:pt>
                <c:pt idx="9">
                  <c:v>418610.99375110003</c:v>
                </c:pt>
                <c:pt idx="10">
                  <c:v>643428.53987555648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E-634E-BFA7-964E6132E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6359839"/>
        <c:axId val="1432128047"/>
      </c:barChart>
      <c:catAx>
        <c:axId val="163635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NO"/>
          </a:p>
        </c:txPr>
        <c:crossAx val="1432128047"/>
        <c:crosses val="autoZero"/>
        <c:auto val="1"/>
        <c:lblAlgn val="ctr"/>
        <c:lblOffset val="100"/>
        <c:noMultiLvlLbl val="0"/>
      </c:catAx>
      <c:valAx>
        <c:axId val="143212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r>
                  <a:rPr lang="en-GB" sz="1050"/>
                  <a:t>Million 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n-GB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NO"/>
          </a:p>
        </c:txPr>
        <c:crossAx val="1636359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NO"/>
        </a:p>
      </c:txPr>
    </c:legend>
    <c:plotVisOnly val="1"/>
    <c:dispBlanksAs val="gap"/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>
          <a:latin typeface="Aptos" panose="020B0004020202020204" pitchFamily="34" charset="0"/>
        </a:defRPr>
      </a:pPr>
      <a:endParaRPr lang="en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input'!$B$22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7EC0C5"/>
            </a:solidFill>
            <a:ln>
              <a:noFill/>
            </a:ln>
            <a:effectLst/>
          </c:spPr>
          <c:invertIfNegative val="0"/>
          <c:cat>
            <c:numRef>
              <c:f>'Graph input'!$C$21:$M$21</c:f>
              <c:numCache>
                <c:formatCode>General</c:formatCode>
                <c:ptCount val="1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</c:numCache>
            </c:numRef>
          </c:cat>
          <c:val>
            <c:numRef>
              <c:f>'Graph input'!$C$22:$M$22</c:f>
              <c:numCache>
                <c:formatCode>#,##0</c:formatCode>
                <c:ptCount val="11"/>
                <c:pt idx="0">
                  <c:v>33250.781999999999</c:v>
                </c:pt>
                <c:pt idx="1">
                  <c:v>63176.485799999995</c:v>
                </c:pt>
                <c:pt idx="2">
                  <c:v>114570.55699829999</c:v>
                </c:pt>
                <c:pt idx="3">
                  <c:v>197863.35193606408</c:v>
                </c:pt>
                <c:pt idx="4">
                  <c:v>324594.8288511131</c:v>
                </c:pt>
                <c:pt idx="5">
                  <c:v>504420.36403462966</c:v>
                </c:pt>
                <c:pt idx="6">
                  <c:v>740236.88422081887</c:v>
                </c:pt>
                <c:pt idx="7">
                  <c:v>1022267.1371089508</c:v>
                </c:pt>
                <c:pt idx="8">
                  <c:v>1323324.8089875365</c:v>
                </c:pt>
                <c:pt idx="9">
                  <c:v>1598576.3692569439</c:v>
                </c:pt>
                <c:pt idx="10">
                  <c:v>1792803.3981216627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4-1647-8ABC-66C6FAFB0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02615503"/>
        <c:axId val="1853462464"/>
      </c:barChart>
      <c:lineChart>
        <c:grouping val="standard"/>
        <c:varyColors val="0"/>
        <c:ser>
          <c:idx val="1"/>
          <c:order val="1"/>
          <c:tx>
            <c:strRef>
              <c:f>'Graph input'!$B$23</c:f>
              <c:strCache>
                <c:ptCount val="1"/>
                <c:pt idx="0">
                  <c:v>EV/revenue</c:v>
                </c:pt>
              </c:strCache>
            </c:strRef>
          </c:tx>
          <c:spPr>
            <a:ln w="28575" cap="rnd">
              <a:solidFill>
                <a:srgbClr val="007C85"/>
              </a:solidFill>
              <a:round/>
            </a:ln>
            <a:effectLst/>
          </c:spPr>
          <c:marker>
            <c:symbol val="none"/>
          </c:marker>
          <c:cat>
            <c:numRef>
              <c:f>'Graph input'!$C$21:$M$21</c:f>
              <c:numCache>
                <c:formatCode>General</c:formatCode>
                <c:ptCount val="1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</c:numCache>
            </c:numRef>
          </c:cat>
          <c:val>
            <c:numRef>
              <c:f>'Graph input'!$C$23:$M$23</c:f>
              <c:numCache>
                <c:formatCode>#,##0.00</c:formatCode>
                <c:ptCount val="11"/>
                <c:pt idx="0">
                  <c:v>36.309742210692413</c:v>
                </c:pt>
                <c:pt idx="1">
                  <c:v>19.110390637206535</c:v>
                </c:pt>
                <c:pt idx="2">
                  <c:v>10.53784981373396</c:v>
                </c:pt>
                <c:pt idx="3">
                  <c:v>6.1018238643508749</c:v>
                </c:pt>
                <c:pt idx="4">
                  <c:v>3.7194903165808442</c:v>
                </c:pt>
                <c:pt idx="5">
                  <c:v>2.3934944122141859</c:v>
                </c:pt>
                <c:pt idx="6">
                  <c:v>1.6310013030420349</c:v>
                </c:pt>
                <c:pt idx="7">
                  <c:v>1.1810291839551306</c:v>
                </c:pt>
                <c:pt idx="8">
                  <c:v>0.9123439041754583</c:v>
                </c:pt>
                <c:pt idx="9">
                  <c:v>0.75525157630418738</c:v>
                </c:pt>
                <c:pt idx="10">
                  <c:v>0.67342984958019381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44-1647-8ABC-66C6FAFB0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175759"/>
        <c:axId val="483826191"/>
      </c:lineChart>
      <c:catAx>
        <c:axId val="40261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O"/>
          </a:p>
        </c:txPr>
        <c:crossAx val="1853462464"/>
        <c:crosses val="autoZero"/>
        <c:auto val="1"/>
        <c:lblAlgn val="ctr"/>
        <c:lblOffset val="100"/>
        <c:noMultiLvlLbl val="0"/>
      </c:catAx>
      <c:valAx>
        <c:axId val="185346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Revenue (Million USD)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O"/>
          </a:p>
        </c:txPr>
        <c:crossAx val="402615503"/>
        <c:crosses val="autoZero"/>
        <c:crossBetween val="between"/>
      </c:valAx>
      <c:valAx>
        <c:axId val="483826191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O"/>
          </a:p>
        </c:txPr>
        <c:crossAx val="350175759"/>
        <c:crosses val="max"/>
        <c:crossBetween val="between"/>
      </c:valAx>
      <c:catAx>
        <c:axId val="350175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8261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input'!$C$32</c:f>
              <c:strCache>
                <c:ptCount val="1"/>
                <c:pt idx="0">
                  <c:v>Low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'Graph input'!$B$33:$B$34</c:f>
              <c:strCache>
                <c:ptCount val="2"/>
                <c:pt idx="0">
                  <c:v>Change in Wacc</c:v>
                </c:pt>
                <c:pt idx="1">
                  <c:v>Change in revenue growth</c:v>
                </c:pt>
              </c:strCache>
            </c:strRef>
          </c:cat>
          <c:val>
            <c:numRef>
              <c:f>'Graph input'!$C$33:$C$34</c:f>
              <c:numCache>
                <c:formatCode>0.00</c:formatCode>
                <c:ptCount val="2"/>
                <c:pt idx="0">
                  <c:v>25.940418789186584</c:v>
                </c:pt>
                <c:pt idx="1">
                  <c:v>21.822765738457381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2-A84A-9C11-A98E9715DCE1}"/>
            </c:ext>
          </c:extLst>
        </c:ser>
        <c:ser>
          <c:idx val="1"/>
          <c:order val="1"/>
          <c:tx>
            <c:strRef>
              <c:f>'Graph input'!$D$33</c:f>
              <c:strCache>
                <c:ptCount val="1"/>
                <c:pt idx="0">
                  <c:v>15,60</c:v>
                </c:pt>
              </c:strCache>
            </c:strRef>
          </c:tx>
          <c:spPr>
            <a:solidFill>
              <a:srgbClr val="7EC0C5"/>
            </a:solidFill>
            <a:ln>
              <a:noFill/>
            </a:ln>
            <a:effectLst/>
          </c:spPr>
          <c:invertIfNegative val="0"/>
          <c:cat>
            <c:strRef>
              <c:f>'Graph input'!$B$33:$B$34</c:f>
              <c:strCache>
                <c:ptCount val="2"/>
                <c:pt idx="0">
                  <c:v>Change in Wacc</c:v>
                </c:pt>
                <c:pt idx="1">
                  <c:v>Change in revenue growth</c:v>
                </c:pt>
              </c:strCache>
            </c:strRef>
          </c:cat>
          <c:val>
            <c:numRef>
              <c:f>'Graph input'!$D$33:$D$34</c:f>
              <c:numCache>
                <c:formatCode>0.00</c:formatCode>
                <c:ptCount val="2"/>
                <c:pt idx="0">
                  <c:v>15.603555576154829</c:v>
                </c:pt>
                <c:pt idx="1">
                  <c:v>27.407956700344553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2-A84A-9C11-A98E9715DCE1}"/>
            </c:ext>
          </c:extLst>
        </c:ser>
        <c:ser>
          <c:idx val="2"/>
          <c:order val="2"/>
          <c:tx>
            <c:strRef>
              <c:f>'Graph input'!$E$32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B72-A84A-9C11-A98E9715DCE1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72-A84A-9C11-A98E9715DCE1}"/>
              </c:ext>
            </c:extLst>
          </c:dPt>
          <c:cat>
            <c:strRef>
              <c:f>'Graph input'!$B$33:$B$34</c:f>
              <c:strCache>
                <c:ptCount val="2"/>
                <c:pt idx="0">
                  <c:v>Change in Wacc</c:v>
                </c:pt>
                <c:pt idx="1">
                  <c:v>Change in revenue growth</c:v>
                </c:pt>
              </c:strCache>
            </c:strRef>
          </c:cat>
          <c:val>
            <c:numRef>
              <c:f>'Graph input'!$E$33:$E$34</c:f>
              <c:numCache>
                <c:formatCode>0.00</c:formatCode>
                <c:ptCount val="2"/>
                <c:pt idx="0">
                  <c:v>41.543974365341413</c:v>
                </c:pt>
                <c:pt idx="1">
                  <c:v>49.230722438801934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2-A84A-9C11-A98E9715D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39179104"/>
        <c:axId val="1771716127"/>
      </c:barChart>
      <c:catAx>
        <c:axId val="16391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O"/>
          </a:p>
        </c:txPr>
        <c:crossAx val="1771716127"/>
        <c:crosses val="autoZero"/>
        <c:auto val="1"/>
        <c:lblAlgn val="ctr"/>
        <c:lblOffset val="100"/>
        <c:noMultiLvlLbl val="0"/>
      </c:catAx>
      <c:valAx>
        <c:axId val="1771716127"/>
        <c:scaling>
          <c:orientation val="minMax"/>
          <c:max val="5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O"/>
          </a:p>
        </c:txPr>
        <c:crossAx val="163917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title pos="t" align="ctr" overlay="0">
      <cx:tx>
        <cx:txData>
          <cx:v>IPO Pricing Evaluation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Aptos" panose="020B0004020202020204" pitchFamily="34" charset="0"/>
              <a:ea typeface="Aptos" panose="020B0004020202020204" pitchFamily="34" charset="0"/>
              <a:cs typeface="Aptos" panose="020B0004020202020204" pitchFamily="34" charset="0"/>
            </a:defRPr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" panose="020B0004020202020204" pitchFamily="34" charset="0"/>
            </a:rPr>
            <a:t>IPO Pricing Evaluation</a:t>
          </a:r>
        </a:p>
      </cx:txPr>
    </cx:title>
    <cx:plotArea>
      <cx:plotAreaRegion>
        <cx:series layoutId="waterfall" uniqueId="{07AB2710-629D-F04B-834C-8B5CD3E90195}">
          <cx:spPr>
            <a:solidFill>
              <a:srgbClr val="7EC0C5"/>
            </a:solidFill>
          </cx:spPr>
          <cx:dataPt idx="1">
            <cx:spPr>
              <a:solidFill>
                <a:srgbClr val="70AD47"/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>
                    <a:latin typeface="Aptos" panose="020B0004020202020204" pitchFamily="34" charset="0"/>
                    <a:ea typeface="Aptos" panose="020B0004020202020204" pitchFamily="34" charset="0"/>
                    <a:cs typeface="Aptos" panose="020B0004020202020204" pitchFamily="34" charset="0"/>
                  </a:defRPr>
                </a:pPr>
                <a:endParaRPr lang="en-GB" sz="11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" panose="020B0004020202020204" pitchFamily="34" charset="0"/>
                  <a:ea typeface="CMU Serif Roman" panose="02000603000000000000" pitchFamily="2" charset="0"/>
                  <a:cs typeface="CMU Serif Roman" panose="02000603000000000000" pitchFamily="2" charset="0"/>
                </a:endParaRPr>
              </a:p>
            </cx:txPr>
            <cx:visibility seriesName="0" categoryName="0" value="1"/>
          </cx:dataLabels>
          <cx:dataId val="0"/>
          <cx:layoutPr>
            <cx:visibility connectorLines="1"/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0">
                <a:latin typeface="Aptos" panose="020B0004020202020204" pitchFamily="34" charset="0"/>
                <a:ea typeface="Aptos" panose="020B0004020202020204" pitchFamily="34" charset="0"/>
                <a:cs typeface="Aptos" panose="020B0004020202020204" pitchFamily="34" charset="0"/>
              </a:defRPr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" panose="020B0004020202020204" pitchFamily="34" charset="0"/>
              <a:ea typeface="CMU Serif Roman" panose="02000603000000000000" pitchFamily="2" charset="0"/>
              <a:cs typeface="CMU Serif Roman" panose="02000603000000000000" pitchFamily="2" charset="0"/>
            </a:endParaRPr>
          </a:p>
        </cx:txPr>
      </cx:axis>
      <cx:axis id="1">
        <cx:valScaling max="40"/>
        <cx:tickLabels/>
        <cx:numFmt formatCode="_-[$$-en-US]* # ##0_ ;_-[$$-en-US]* -# ##0 ;_-[$$-en-US]* &quot;-&quot;_ ;_-@_ 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 b="0">
                <a:latin typeface="Aptos" panose="020B0004020202020204" pitchFamily="34" charset="0"/>
                <a:ea typeface="Aptos" panose="020B0004020202020204" pitchFamily="34" charset="0"/>
                <a:cs typeface="Aptos" panose="020B0004020202020204" pitchFamily="34" charset="0"/>
              </a:defRPr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" panose="020B0004020202020204" pitchFamily="34" charset="0"/>
              <a:ea typeface="CMU Serif Roman" panose="02000603000000000000" pitchFamily="2" charset="0"/>
              <a:cs typeface="CMU Serif Roman" panose="02000603000000000000" pitchFamily="2" charset="0"/>
            </a:endParaRPr>
          </a:p>
        </cx:txPr>
      </cx:axis>
    </cx:plotArea>
  </cx:chart>
  <cx:spPr>
    <a:noFill/>
    <a:ln w="6350">
      <a:noFill/>
    </a:ln>
  </cx:spPr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_xlchart.v1.33</cx:f>
      </cx:strDim>
      <cx:numDim type="val">
        <cx:f dir="row">_xlchart.v1.34</cx:f>
      </cx:numDim>
    </cx:data>
  </cx:chartData>
  <cx:chart>
    <cx:plotArea>
      <cx:plotAreaRegion>
        <cx:series layoutId="waterfall" uniqueId="{958D08F5-2B5C-F44C-B660-D1A240C19014}">
          <cx:tx>
            <cx:txData>
              <cx:f>_xlchart.v1.32</cx:f>
              <cx:v>Alpha Technology Group</cx:v>
            </cx:txData>
          </cx:tx>
          <cx:spPr>
            <a:solidFill>
              <a:srgbClr val="007C85"/>
            </a:solidFill>
          </cx:spPr>
          <cx:dataPt idx="1">
            <cx:spPr>
              <a:solidFill>
                <a:srgbClr val="70AD47">
                  <a:lumMod val="60000"/>
                  <a:lumOff val="40000"/>
                </a:srgbClr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/>
                </a:pPr>
                <a:endParaRPr lang="en-GB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noFill/>
    <a:ln>
      <a:noFill/>
    </a:ln>
  </cx:spPr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_xlchart.v1.35</cx:f>
      </cx:strDim>
      <cx:numDim type="val">
        <cx:f>_xlchart.v1.36</cx:f>
      </cx:numDim>
    </cx:data>
  </cx:chartData>
  <cx:chart>
    <cx:title pos="t" align="ctr" overlay="0">
      <cx:tx>
        <cx:txData>
          <cx:v>Equity Value Per Share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MU Serif Roman" panose="02000603000000000000" pitchFamily="2" charset="0"/>
              <a:ea typeface="CMU Serif Roman" panose="02000603000000000000" pitchFamily="2" charset="0"/>
              <a:cs typeface="CMU Serif Roman" panose="02000603000000000000" pitchFamily="2" charset="0"/>
            </a:rPr>
            <a:t>Equity Value Per Share</a:t>
          </a:r>
        </a:p>
      </cx:txPr>
    </cx:title>
    <cx:plotArea>
      <cx:plotAreaRegion>
        <cx:series layoutId="waterfall" uniqueId="{07AB2710-629D-F04B-834C-8B5CD3E90195}">
          <cx:spPr>
            <a:solidFill>
              <a:srgbClr val="7EC0C5"/>
            </a:solidFill>
          </cx:spPr>
          <cx:dataPt idx="1">
            <cx:spPr>
              <a:solidFill>
                <a:srgbClr val="007C85"/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00">
                    <a:latin typeface="CMU Serif Roman" panose="02000603000000000000" pitchFamily="2" charset="0"/>
                    <a:ea typeface="CMU Serif Roman" panose="02000603000000000000" pitchFamily="2" charset="0"/>
                    <a:cs typeface="CMU Serif Roman" panose="02000603000000000000" pitchFamily="2" charset="0"/>
                  </a:defRPr>
                </a:pPr>
                <a:endParaRPr lang="en-GB" sz="14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MU Serif Roman" panose="02000603000000000000" pitchFamily="2" charset="0"/>
                  <a:ea typeface="CMU Serif Roman" panose="02000603000000000000" pitchFamily="2" charset="0"/>
                  <a:cs typeface="CMU Serif Roman" panose="02000603000000000000" pitchFamily="2" charset="0"/>
                </a:endParaRPr>
              </a:p>
            </cx:txPr>
            <cx:visibility seriesName="0" categoryName="0" value="1"/>
          </cx:dataLabels>
          <cx:dataId val="0"/>
          <cx:layoutPr>
            <cx:visibility connectorLines="1"/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0">
                <a:latin typeface="CMU Serif Roman" panose="02000603000000000000" pitchFamily="2" charset="0"/>
                <a:ea typeface="CMU Serif Roman" panose="02000603000000000000" pitchFamily="2" charset="0"/>
                <a:cs typeface="CMU Serif Roman" panose="02000603000000000000" pitchFamily="2" charset="0"/>
              </a:defRPr>
            </a:pPr>
            <a:endParaRPr lang="en-GB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MU Serif Roman" panose="02000603000000000000" pitchFamily="2" charset="0"/>
              <a:ea typeface="CMU Serif Roman" panose="02000603000000000000" pitchFamily="2" charset="0"/>
              <a:cs typeface="CMU Serif Roman" panose="02000603000000000000" pitchFamily="2" charset="0"/>
            </a:endParaRPr>
          </a:p>
        </cx:txPr>
      </cx:axis>
      <cx:axis id="1">
        <cx:valScaling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0">
                <a:latin typeface="CMU Serif Roman" panose="02000603000000000000" pitchFamily="2" charset="0"/>
                <a:ea typeface="CMU Serif Roman" panose="02000603000000000000" pitchFamily="2" charset="0"/>
                <a:cs typeface="CMU Serif Roman" panose="02000603000000000000" pitchFamily="2" charset="0"/>
              </a:defRPr>
            </a:pPr>
            <a:endParaRPr lang="en-GB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MU Serif Roman" panose="02000603000000000000" pitchFamily="2" charset="0"/>
              <a:ea typeface="CMU Serif Roman" panose="02000603000000000000" pitchFamily="2" charset="0"/>
              <a:cs typeface="CMU Serif Roman" panose="02000603000000000000" pitchFamily="2" charset="0"/>
            </a:endParaRPr>
          </a:p>
        </cx:txPr>
      </cx:axis>
    </cx:plotArea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_xlchart.v1.37</cx:f>
      </cx:strDim>
      <cx:numDim type="val">
        <cx:f>_xlchart.v1.38</cx:f>
      </cx:numDim>
    </cx:data>
  </cx:chartData>
  <cx:chart>
    <cx:title pos="t" align="ctr" overlay="0">
      <cx:tx>
        <cx:txData>
          <cx:v>FCF breakdown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FCF breakdown</a:t>
          </a:r>
        </a:p>
      </cx:txPr>
    </cx:title>
    <cx:plotArea>
      <cx:plotAreaRegion>
        <cx:series layoutId="waterfall" uniqueId="{BAD522CA-08A3-044F-A45A-FE0C3C47E837}">
          <cx:spPr>
            <a:solidFill>
              <a:srgbClr val="007C85"/>
            </a:solidFill>
          </cx:spPr>
          <cx:dataPt idx="0"/>
          <cx:dataPt idx="1">
            <cx:spPr>
              <a:solidFill>
                <a:srgbClr val="7EC0C5"/>
              </a:solidFill>
            </cx:spPr>
          </cx:dataPt>
          <cx:dataPt idx="2">
            <cx:spPr>
              <a:solidFill>
                <a:srgbClr val="7EC0C5"/>
              </a:solidFill>
            </cx:spPr>
          </cx:dataPt>
          <cx:dataPt idx="3">
            <cx:spPr>
              <a:solidFill>
                <a:srgbClr val="7EC0C5"/>
              </a:solidFill>
            </cx:spPr>
          </cx:dataPt>
          <cx:dataPt idx="4">
            <cx:spPr>
              <a:solidFill>
                <a:srgbClr val="7EC0C5"/>
              </a:solidFill>
              <a:ln>
                <a:noFill/>
              </a:ln>
            </cx:spPr>
          </cx:dataPt>
          <cx:dataLabels pos="outEnd">
            <cx:numFmt formatCode="_-[$$-en-US]* # ##0_ ;_-[$$-en-US]* -# ##0 ;_-[$$-en-US]* &quot;-&quot;_ ;_-@_ 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0">
                    <a:latin typeface="CMU Serif Roman" panose="02000603000000000000" pitchFamily="2" charset="0"/>
                    <a:ea typeface="CMU Serif Roman" panose="02000603000000000000" pitchFamily="2" charset="0"/>
                    <a:cs typeface="CMU Serif Roman" panose="02000603000000000000" pitchFamily="2" charset="0"/>
                  </a:defRPr>
                </a:pPr>
                <a:endParaRPr lang="en-GB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MU Serif Roman" panose="02000603000000000000" pitchFamily="2" charset="0"/>
                  <a:ea typeface="CMU Serif Roman" panose="02000603000000000000" pitchFamily="2" charset="0"/>
                  <a:cs typeface="CMU Serif Roman" panose="02000603000000000000" pitchFamily="2" charset="0"/>
                </a:endParaRPr>
              </a:p>
            </cx:txPr>
            <cx:visibility seriesName="0" categoryName="1" value="1"/>
            <cx:separator>
</cx:separator>
            <cx:dataLabel idx="3">
              <cx:numFmt formatCode="_-[$$-en-US]* # ##0,00_ ;_-[$$-en-US]* -# ##0,00 ;_-[$$-en-US]* &quot;-&quot;??_ ;_-@_ " sourceLinked="0"/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="0"/>
                  </a:pPr>
                  <a:r>
                    <a:rPr lang="en-GB" sz="900" b="0" i="0" u="none" strike="noStrike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CMU Serif Roman" panose="02000603000000000000" pitchFamily="2" charset="0"/>
                      <a:ea typeface="CMU Serif Roman" panose="02000603000000000000" pitchFamily="2" charset="0"/>
                      <a:cs typeface="CMU Serif Roman" panose="02000603000000000000" pitchFamily="2" charset="0"/>
                    </a:rPr>
                    <a:t>OPEX
 $-25 603,10 </a:t>
                  </a:r>
                </a:p>
              </cx:txPr>
              <cx:visibility seriesName="0" categoryName="1" value="1"/>
            </cx:dataLabel>
            <cx:dataLabel idx="4" pos="outEnd"/>
          </cx:dataLabels>
          <cx:dataId val="0"/>
          <cx:layoutPr>
            <cx:subtotals/>
          </cx:layoutPr>
        </cx:series>
      </cx:plotAreaRegion>
      <cx:axis id="0" hidden="1">
        <cx:catScaling gapWidth="0.5"/>
        <cx:tickLabels/>
      </cx:axis>
      <cx:axis id="1">
        <cx:valScaling max="50000" min="-40000"/>
        <cx:majorGridlines/>
        <cx:tickLabels/>
        <cx:numFmt formatCode="_-[$$-en-US]* # ##0_ ;_-[$$-en-US]* -# ##0 ;_-[$$-en-US]* &quot;-&quot;_ ;_-@_ 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CMU Serif Roman" panose="02000603000000000000" pitchFamily="2" charset="0"/>
                <a:ea typeface="CMU Serif Roman" panose="02000603000000000000" pitchFamily="2" charset="0"/>
                <a:cs typeface="CMU Serif Roman" panose="02000603000000000000" pitchFamily="2" charset="0"/>
              </a:defRPr>
            </a:pPr>
            <a:endParaRPr lang="en-GB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MU Serif Roman" panose="02000603000000000000" pitchFamily="2" charset="0"/>
              <a:ea typeface="CMU Serif Roman" panose="02000603000000000000" pitchFamily="2" charset="0"/>
              <a:cs typeface="CMU Serif Roman" panose="02000603000000000000" pitchFamily="2" charset="0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Aptos" panose="020B0004020202020204" pitchFamily="34" charset="0"/>
                <a:ea typeface="Aptos" panose="020B0004020202020204" pitchFamily="34" charset="0"/>
                <a:cs typeface="Aptos" panose="020B0004020202020204" pitchFamily="34" charset="0"/>
              </a:defRPr>
            </a:pPr>
            <a:r>
              <a:rPr lang="en-GB">
                <a:latin typeface="Aptos" panose="020B0004020202020204" pitchFamily="34" charset="0"/>
              </a:rPr>
              <a:t>Revenue and Cost Breakdown 1995</a:t>
            </a:r>
            <a:endPara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" panose="020B0004020202020204" pitchFamily="34" charset="0"/>
            </a:endParaRPr>
          </a:p>
        </cx:rich>
      </cx:tx>
    </cx:title>
    <cx:plotArea>
      <cx:plotAreaRegion>
        <cx:series layoutId="waterfall" uniqueId="{BAD522CA-08A3-044F-A45A-FE0C3C47E837}">
          <cx:spPr>
            <a:solidFill>
              <a:srgbClr val="007C85"/>
            </a:solidFill>
          </cx:spPr>
          <cx:dataPt idx="0"/>
          <cx:dataPt idx="1">
            <cx:spPr>
              <a:solidFill>
                <a:srgbClr val="7EC0C5"/>
              </a:solidFill>
            </cx:spPr>
          </cx:dataPt>
          <cx:dataPt idx="2">
            <cx:spPr>
              <a:solidFill>
                <a:srgbClr val="7EC0C5"/>
              </a:solidFill>
            </cx:spPr>
          </cx:dataPt>
          <cx:dataPt idx="3">
            <cx:spPr>
              <a:solidFill>
                <a:srgbClr val="7EC0C5"/>
              </a:solidFill>
            </cx:spPr>
          </cx:dataPt>
          <cx:dataPt idx="4">
            <cx:spPr>
              <a:solidFill>
                <a:srgbClr val="7EC0C5"/>
              </a:solidFill>
              <a:ln>
                <a:noFill/>
              </a:ln>
            </cx:spPr>
          </cx:dataPt>
          <cx:dataLabels pos="outEnd">
            <cx:numFmt formatCode="_-[$$-en-US]* # ##0_ ;_-[$$-en-US]* -# ##0 ;_-[$$-en-US]* &quot;-&quot;_ ;_-@_ 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 b="0">
                    <a:latin typeface="Aptos" panose="020B0004020202020204" pitchFamily="34" charset="0"/>
                    <a:ea typeface="Aptos" panose="020B0004020202020204" pitchFamily="34" charset="0"/>
                    <a:cs typeface="Aptos" panose="020B0004020202020204" pitchFamily="34" charset="0"/>
                  </a:defRPr>
                </a:pPr>
                <a:endParaRPr lang="en-GB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" panose="020B0004020202020204" pitchFamily="34" charset="0"/>
                  <a:ea typeface="CMU Serif Roman" panose="02000603000000000000" pitchFamily="2" charset="0"/>
                  <a:cs typeface="CMU Serif Roman" panose="02000603000000000000" pitchFamily="2" charset="0"/>
                </a:endParaRPr>
              </a:p>
            </cx:txPr>
            <cx:visibility seriesName="0" categoryName="1" value="1"/>
            <cx:separator>
</cx:separator>
            <cx:dataLabel idx="3">
              <cx:numFmt formatCode="_-[$$-en-US]* # ##0,00_ ;_-[$$-en-US]* -# ##0,00 ;_-[$$-en-US]* &quot;-&quot;??_ ;_-@_ " sourceLinked="0"/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="0"/>
                  </a:pPr>
                  <a:r>
                    <a:rPr lang="en-GB" sz="900" b="0" i="0" u="none" strike="noStrike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CMU Serif Roman" panose="02000603000000000000" pitchFamily="2" charset="0"/>
                      <a:ea typeface="CMU Serif Roman" panose="02000603000000000000" pitchFamily="2" charset="0"/>
                      <a:cs typeface="CMU Serif Roman" panose="02000603000000000000" pitchFamily="2" charset="0"/>
                    </a:rPr>
                    <a:t>OPEX
 $-25 603,10 </a:t>
                  </a:r>
                </a:p>
              </cx:txPr>
              <cx:visibility seriesName="0" categoryName="1" value="1"/>
            </cx:dataLabel>
            <cx:dataLabel idx="4" pos="outEnd"/>
          </cx:dataLabels>
          <cx:dataId val="0"/>
          <cx:layoutPr>
            <cx:subtotals/>
          </cx:layoutPr>
        </cx:series>
      </cx:plotAreaRegion>
      <cx:axis id="0" hidden="1">
        <cx:catScaling gapWidth="0.5"/>
        <cx:tickLabels/>
      </cx:axis>
      <cx:axis id="1">
        <cx:valScaling max="50000" min="-40000"/>
        <cx:tickLabels/>
        <cx:numFmt formatCode="_-[$$-en-US]* # ##0_ ;_-[$$-en-US]* -# ##0 ;_-[$$-en-US]* &quot;-&quot;_ ;_-@_ 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>
                <a:latin typeface="Aptos" panose="020B0004020202020204" pitchFamily="34" charset="0"/>
                <a:ea typeface="Aptos" panose="020B0004020202020204" pitchFamily="34" charset="0"/>
                <a:cs typeface="Aptos" panose="020B0004020202020204" pitchFamily="34" charset="0"/>
              </a:defRPr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" panose="020B0004020202020204" pitchFamily="34" charset="0"/>
              <a:ea typeface="CMU Serif Roman" panose="02000603000000000000" pitchFamily="2" charset="0"/>
              <a:cs typeface="CMU Serif Roman" panose="02000603000000000000" pitchFamily="2" charset="0"/>
            </a:endParaRPr>
          </a:p>
        </cx:txPr>
      </cx:axis>
    </cx:plotArea>
  </cx:chart>
  <cx:spPr>
    <a:noFill/>
    <a:ln w="6350"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_xlchart.v1.24</cx:f>
      </cx:strDim>
      <cx:numDim type="val">
        <cx:f dir="row">_xlchart.v1.25</cx:f>
      </cx:numDim>
    </cx:data>
  </cx:chartData>
  <cx:chart>
    <cx:title pos="t" align="ctr" overlay="0">
      <cx:tx>
        <cx:txData>
          <cx:v>Linkage Global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cmbx12" panose="020B0500000000000000" pitchFamily="34" charset="0"/>
              <a:ea typeface="cmbx12" panose="020B0500000000000000" pitchFamily="34" charset="0"/>
              <a:cs typeface="cmbx12" panose="020B0500000000000000" pitchFamily="34" charset="0"/>
            </a:defRPr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Helvetica" pitchFamily="2" charset="0"/>
            </a:rPr>
            <a:t>Linkage Global</a:t>
          </a:r>
        </a:p>
      </cx:txPr>
    </cx:title>
    <cx:plotArea>
      <cx:plotAreaRegion>
        <cx:series layoutId="waterfall" uniqueId="{577352A2-C56D-EC41-BFDB-001178C82F19}" formatIdx="2">
          <cx:tx>
            <cx:txData>
              <cx:f>_xlchart.v1.23</cx:f>
              <cx:v>Linkage Global</cx:v>
            </cx:txData>
          </cx:tx>
          <cx:spPr>
            <a:solidFill>
              <a:srgbClr val="007C85"/>
            </a:solidFill>
          </cx:spPr>
          <cx:dataPt idx="1">
            <cx:spPr>
              <a:solidFill>
                <a:srgbClr val="FF6464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/>
                </a:pPr>
                <a:endParaRPr lang="en-GB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_xlchart.v1.15</cx:f>
      </cx:strDim>
      <cx:numDim type="val">
        <cx:f dir="row">_xlchart.v1.16</cx:f>
      </cx:numDim>
    </cx:data>
  </cx:chartData>
  <cx:chart>
    <cx:title pos="t" align="ctr" overlay="0">
      <cx:tx>
        <cx:txData>
          <cx:v>Klaviyo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Helvetica" pitchFamily="2" charset="0"/>
              <a:ea typeface="Helvetica" pitchFamily="2" charset="0"/>
              <a:cs typeface="Helvetica" pitchFamily="2" charset="0"/>
            </a:defRPr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Helvetica" pitchFamily="2" charset="0"/>
            </a:rPr>
            <a:t>Klaviyo</a:t>
          </a:r>
        </a:p>
      </cx:txPr>
    </cx:title>
    <cx:plotArea>
      <cx:plotAreaRegion>
        <cx:series layoutId="waterfall" uniqueId="{12012F4C-BE78-CD43-8700-94F4624F2655}" formatIdx="3">
          <cx:tx>
            <cx:txData>
              <cx:f>_xlchart.v1.14</cx:f>
              <cx:v>Klaviyo</cx:v>
            </cx:txData>
          </cx:tx>
          <cx:spPr>
            <a:solidFill>
              <a:srgbClr val="007C85"/>
            </a:solidFill>
          </cx:spPr>
          <cx:dataPt idx="1">
            <cx:spPr>
              <a:solidFill>
                <a:srgbClr val="70AD47">
                  <a:lumMod val="60000"/>
                  <a:lumOff val="40000"/>
                </a:srgbClr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/>
                </a:pPr>
                <a:endParaRPr lang="en-GB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dataLabel idx="1" pos="outEnd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GB" sz="1050" b="0" i="0" u="none" strike="noStrike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Calibri" panose="020F0502020204030204"/>
                    </a:rPr>
                    <a:t>2,7</a:t>
                  </a:r>
                </a:p>
              </cx:txPr>
            </cx:dataLabel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_xlchart.v1.18</cx:f>
      </cx:strDim>
      <cx:numDim type="val">
        <cx:f dir="row">_xlchart.v1.19</cx:f>
      </cx:numDim>
    </cx:data>
  </cx:chartData>
  <cx:chart>
    <cx:title pos="t" align="ctr" overlay="0">
      <cx:tx>
        <cx:txData>
          <cx:v>Global Mofy Metaverse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cmbx12" panose="020B0500000000000000" pitchFamily="34" charset="0"/>
              <a:ea typeface="cmbx12" panose="020B0500000000000000" pitchFamily="34" charset="0"/>
              <a:cs typeface="cmbx12" panose="020B0500000000000000" pitchFamily="34" charset="0"/>
            </a:defRPr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Helvetica" pitchFamily="2" charset="0"/>
              <a:ea typeface="CMU Serif Roman" panose="02000603000000000000" pitchFamily="2" charset="0"/>
              <a:cs typeface="CMU Serif Roman" panose="02000603000000000000" pitchFamily="2" charset="0"/>
            </a:rPr>
            <a:t>Global Mofy Metaverse</a:t>
          </a:r>
        </a:p>
      </cx:txPr>
    </cx:title>
    <cx:plotArea>
      <cx:plotAreaRegion>
        <cx:series layoutId="waterfall" uniqueId="{2016FF23-66C3-1B42-B19E-924E056D0797}" formatIdx="1">
          <cx:tx>
            <cx:txData>
              <cx:f>_xlchart.v1.17</cx:f>
              <cx:v>Global Mofy metaverse</cx:v>
            </cx:txData>
          </cx:tx>
          <cx:spPr>
            <a:solidFill>
              <a:srgbClr val="007C85"/>
            </a:solidFill>
          </cx:spPr>
          <cx:dataPt idx="0"/>
          <cx:dataPt idx="1">
            <cx:spPr>
              <a:solidFill>
                <a:srgbClr val="70AD47">
                  <a:lumMod val="60000"/>
                  <a:lumOff val="40000"/>
                </a:srgbClr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/>
                </a:pPr>
                <a:endParaRPr lang="en-GB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_xlchart.v1.21</cx:f>
      </cx:strDim>
      <cx:numDim type="val">
        <cx:f dir="row">_xlchart.v1.22</cx:f>
      </cx:numDim>
    </cx:data>
  </cx:chartData>
  <cx:chart>
    <cx:title pos="t" align="ctr" overlay="0">
      <cx:tx>
        <cx:txData>
          <cx:v>Alpha Technology Group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0">
              <a:latin typeface="cmbx12" panose="020B0500000000000000" pitchFamily="34" charset="0"/>
              <a:ea typeface="cmbx12" panose="020B0500000000000000" pitchFamily="34" charset="0"/>
              <a:cs typeface="cmbx12" panose="020B0500000000000000" pitchFamily="34" charset="0"/>
            </a:defRPr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Helvetica" pitchFamily="2" charset="0"/>
              <a:cs typeface="Times New Roman" panose="02020603050405020304" pitchFamily="18" charset="0"/>
            </a:rPr>
            <a:t>Alpha Technology Group</a:t>
          </a:r>
        </a:p>
      </cx:txPr>
    </cx:title>
    <cx:plotArea>
      <cx:plotAreaRegion>
        <cx:series layoutId="waterfall" uniqueId="{958D08F5-2B5C-F44C-B660-D1A240C19014}">
          <cx:tx>
            <cx:txData>
              <cx:f>_xlchart.v1.20</cx:f>
              <cx:v>Alpha Technology Group</cx:v>
            </cx:txData>
          </cx:tx>
          <cx:spPr>
            <a:solidFill>
              <a:srgbClr val="007C85"/>
            </a:solidFill>
          </cx:spPr>
          <cx:dataPt idx="1">
            <cx:spPr>
              <a:solidFill>
                <a:srgbClr val="70AD47">
                  <a:lumMod val="60000"/>
                  <a:lumOff val="40000"/>
                </a:srgbClr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/>
                </a:pPr>
                <a:endParaRPr lang="en-GB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_xlchart.v1.12</cx:f>
      </cx:strDim>
      <cx:numDim type="val">
        <cx:f dir="row">_xlchart.v1.13</cx:f>
      </cx:numDim>
    </cx:data>
  </cx:chartData>
  <cx:chart>
    <cx:plotArea>
      <cx:plotAreaRegion>
        <cx:series layoutId="waterfall" uniqueId="{577352A2-C56D-EC41-BFDB-001178C82F19}" formatIdx="2">
          <cx:tx>
            <cx:txData>
              <cx:f>_xlchart.v1.11</cx:f>
              <cx:v>Linkage Global</cx:v>
            </cx:txData>
          </cx:tx>
          <cx:spPr>
            <a:solidFill>
              <a:srgbClr val="007C85"/>
            </a:solidFill>
          </cx:spPr>
          <cx:dataPt idx="1">
            <cx:spPr>
              <a:solidFill>
                <a:srgbClr val="FF6464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/>
                </a:pPr>
                <a:endParaRPr lang="en-GB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noFill/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_xlchart.v1.30</cx:f>
      </cx:strDim>
      <cx:numDim type="val">
        <cx:f dir="row">_xlchart.v1.31</cx:f>
      </cx:numDim>
    </cx:data>
  </cx:chartData>
  <cx:chart>
    <cx:plotArea>
      <cx:plotAreaRegion>
        <cx:series layoutId="waterfall" uniqueId="{12012F4C-BE78-CD43-8700-94F4624F2655}" formatIdx="3">
          <cx:tx>
            <cx:txData>
              <cx:f>_xlchart.v1.29</cx:f>
              <cx:v>Klaviyo</cx:v>
            </cx:txData>
          </cx:tx>
          <cx:spPr>
            <a:solidFill>
              <a:srgbClr val="007C85"/>
            </a:solidFill>
          </cx:spPr>
          <cx:dataPt idx="1">
            <cx:spPr>
              <a:solidFill>
                <a:srgbClr val="70AD47">
                  <a:lumMod val="60000"/>
                  <a:lumOff val="40000"/>
                </a:srgbClr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/>
                </a:pPr>
                <a:endParaRPr lang="en-GB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dataLabel idx="1" pos="outEnd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GB" sz="1050" b="0" i="0" u="none" strike="noStrike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Calibri" panose="020F0502020204030204"/>
                    </a:rPr>
                    <a:t>2,7</a:t>
                  </a:r>
                </a:p>
              </cx:txPr>
            </cx:dataLabel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noFill/>
    <a:ln>
      <a:noFill/>
    </a:ln>
  </cx:spPr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_xlchart.v1.27</cx:f>
      </cx:strDim>
      <cx:numDim type="val">
        <cx:f dir="row">_xlchart.v1.28</cx:f>
      </cx:numDim>
    </cx:data>
  </cx:chartData>
  <cx:chart>
    <cx:plotArea>
      <cx:plotAreaRegion>
        <cx:series layoutId="waterfall" uniqueId="{2016FF23-66C3-1B42-B19E-924E056D0797}" formatIdx="1">
          <cx:tx>
            <cx:txData>
              <cx:f>_xlchart.v1.26</cx:f>
              <cx:v>Global Mofy metaverse</cx:v>
            </cx:txData>
          </cx:tx>
          <cx:spPr>
            <a:solidFill>
              <a:srgbClr val="007C85"/>
            </a:solidFill>
          </cx:spPr>
          <cx:dataPt idx="0"/>
          <cx:dataPt idx="1">
            <cx:spPr>
              <a:solidFill>
                <a:srgbClr val="70AD47">
                  <a:lumMod val="60000"/>
                  <a:lumOff val="40000"/>
                </a:srgbClr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050"/>
                </a:pPr>
                <a:endParaRPr lang="en-GB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GB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microsoft.com/office/2014/relationships/chartEx" Target="../charts/chartEx2.xml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14/relationships/chartEx" Target="../charts/chartEx9.xml"/><Relationship Id="rId3" Type="http://schemas.openxmlformats.org/officeDocument/2006/relationships/image" Target="../media/image1.png"/><Relationship Id="rId7" Type="http://schemas.microsoft.com/office/2014/relationships/chartEx" Target="../charts/chartEx8.xml"/><Relationship Id="rId2" Type="http://schemas.microsoft.com/office/2014/relationships/chartEx" Target="../charts/chartEx4.xml"/><Relationship Id="rId1" Type="http://schemas.microsoft.com/office/2014/relationships/chartEx" Target="../charts/chartEx3.xml"/><Relationship Id="rId6" Type="http://schemas.microsoft.com/office/2014/relationships/chartEx" Target="../charts/chartEx7.xml"/><Relationship Id="rId5" Type="http://schemas.microsoft.com/office/2014/relationships/chartEx" Target="../charts/chartEx6.xml"/><Relationship Id="rId4" Type="http://schemas.microsoft.com/office/2014/relationships/chartEx" Target="../charts/chartEx5.xml"/><Relationship Id="rId9" Type="http://schemas.microsoft.com/office/2014/relationships/chartEx" Target="../charts/chartEx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2.xml"/><Relationship Id="rId1" Type="http://schemas.microsoft.com/office/2014/relationships/chartEx" Target="../charts/chartEx1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55822</xdr:colOff>
      <xdr:row>1</xdr:row>
      <xdr:rowOff>104907</xdr:rowOff>
    </xdr:from>
    <xdr:to>
      <xdr:col>1</xdr:col>
      <xdr:colOff>2036427</xdr:colOff>
      <xdr:row>4</xdr:row>
      <xdr:rowOff>10150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2F291B-3BA5-0942-8842-12DD87F68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528" y="314083"/>
          <a:ext cx="1980605" cy="532773"/>
        </a:xfrm>
        <a:prstGeom prst="rect">
          <a:avLst/>
        </a:prstGeom>
      </xdr:spPr>
    </xdr:pic>
    <xdr:clientData/>
  </xdr:twoCellAnchor>
  <xdr:twoCellAnchor>
    <xdr:from>
      <xdr:col>4</xdr:col>
      <xdr:colOff>265664</xdr:colOff>
      <xdr:row>43</xdr:row>
      <xdr:rowOff>88953</xdr:rowOff>
    </xdr:from>
    <xdr:to>
      <xdr:col>13</xdr:col>
      <xdr:colOff>43609</xdr:colOff>
      <xdr:row>59</xdr:row>
      <xdr:rowOff>148022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AE09E02-3602-8E44-B503-CCFA36D09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265988</xdr:colOff>
      <xdr:row>60</xdr:row>
      <xdr:rowOff>134471</xdr:rowOff>
    </xdr:from>
    <xdr:to>
      <xdr:col>8</xdr:col>
      <xdr:colOff>567764</xdr:colOff>
      <xdr:row>74</xdr:row>
      <xdr:rowOff>103546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6AF17B11-6A23-BE47-A954-E00F2C81C71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71388" y="12351871"/>
              <a:ext cx="5000776" cy="2813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762000</xdr:colOff>
      <xdr:row>60</xdr:row>
      <xdr:rowOff>134123</xdr:rowOff>
    </xdr:from>
    <xdr:to>
      <xdr:col>13</xdr:col>
      <xdr:colOff>44823</xdr:colOff>
      <xdr:row>74</xdr:row>
      <xdr:rowOff>104588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Chart 13">
              <a:extLst>
                <a:ext uri="{FF2B5EF4-FFF2-40B4-BE49-F238E27FC236}">
                  <a16:creationId xmlns:a16="http://schemas.microsoft.com/office/drawing/2014/main" id="{C6B17509-8247-D248-8BC1-1077A02562F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66400" y="12351523"/>
              <a:ext cx="4934323" cy="28152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288909</xdr:colOff>
      <xdr:row>47</xdr:row>
      <xdr:rowOff>102177</xdr:rowOff>
    </xdr:from>
    <xdr:to>
      <xdr:col>7</xdr:col>
      <xdr:colOff>752626</xdr:colOff>
      <xdr:row>59</xdr:row>
      <xdr:rowOff>7890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9C8BFBF3-F604-C1EF-4F59-57139944E2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32609" y="9728777"/>
              <a:ext cx="3308517" cy="23441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7</xdr:col>
      <xdr:colOff>787273</xdr:colOff>
      <xdr:row>47</xdr:row>
      <xdr:rowOff>69130</xdr:rowOff>
    </xdr:from>
    <xdr:to>
      <xdr:col>10</xdr:col>
      <xdr:colOff>30155</xdr:colOff>
      <xdr:row>58</xdr:row>
      <xdr:rowOff>176722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0EFF247C-DB6C-6716-0058-20A55D5C04E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77766" y="9773525"/>
              <a:ext cx="3309160" cy="23628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14941</xdr:colOff>
      <xdr:row>1</xdr:row>
      <xdr:rowOff>134471</xdr:rowOff>
    </xdr:from>
    <xdr:to>
      <xdr:col>1</xdr:col>
      <xdr:colOff>1995546</xdr:colOff>
      <xdr:row>4</xdr:row>
      <xdr:rowOff>39714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04AB36-6432-B14E-863D-018C68B07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765" y="343647"/>
          <a:ext cx="1980605" cy="532773"/>
        </a:xfrm>
        <a:prstGeom prst="rect">
          <a:avLst/>
        </a:prstGeom>
      </xdr:spPr>
    </xdr:pic>
    <xdr:clientData/>
  </xdr:twoCellAnchor>
  <xdr:twoCellAnchor>
    <xdr:from>
      <xdr:col>2</xdr:col>
      <xdr:colOff>664822</xdr:colOff>
      <xdr:row>47</xdr:row>
      <xdr:rowOff>98405</xdr:rowOff>
    </xdr:from>
    <xdr:to>
      <xdr:col>5</xdr:col>
      <xdr:colOff>251906</xdr:colOff>
      <xdr:row>59</xdr:row>
      <xdr:rowOff>2652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167A3C76-AE92-232C-A3C8-BCEAA6B7923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87422" y="9725005"/>
              <a:ext cx="3308184" cy="23426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</xdr:col>
      <xdr:colOff>48834</xdr:colOff>
      <xdr:row>47</xdr:row>
      <xdr:rowOff>98171</xdr:rowOff>
    </xdr:from>
    <xdr:to>
      <xdr:col>2</xdr:col>
      <xdr:colOff>631716</xdr:colOff>
      <xdr:row>59</xdr:row>
      <xdr:rowOff>2653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3406851B-08A0-F06D-3BF3-C75E8D0EF0F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0934" y="9724771"/>
              <a:ext cx="3313382" cy="23428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240075</xdr:colOff>
      <xdr:row>61</xdr:row>
      <xdr:rowOff>33047</xdr:rowOff>
    </xdr:from>
    <xdr:to>
      <xdr:col>7</xdr:col>
      <xdr:colOff>703792</xdr:colOff>
      <xdr:row>72</xdr:row>
      <xdr:rowOff>141960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4DD4F6E0-FBFE-714B-8C68-204B174292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86315" y="12489207"/>
              <a:ext cx="3308517" cy="23441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7</xdr:col>
      <xdr:colOff>738439</xdr:colOff>
      <xdr:row>61</xdr:row>
      <xdr:rowOff>0</xdr:rowOff>
    </xdr:from>
    <xdr:to>
      <xdr:col>9</xdr:col>
      <xdr:colOff>794121</xdr:colOff>
      <xdr:row>72</xdr:row>
      <xdr:rowOff>107592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E3B87B32-C1F7-354A-8F92-C478E567AC7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29479" y="12456160"/>
              <a:ext cx="3306882" cy="23427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615988</xdr:colOff>
      <xdr:row>61</xdr:row>
      <xdr:rowOff>29275</xdr:rowOff>
    </xdr:from>
    <xdr:to>
      <xdr:col>5</xdr:col>
      <xdr:colOff>203072</xdr:colOff>
      <xdr:row>72</xdr:row>
      <xdr:rowOff>136722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60A31822-7088-DD46-A4AD-6386510D84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43668" y="12485435"/>
              <a:ext cx="3305644" cy="23426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</xdr:col>
      <xdr:colOff>0</xdr:colOff>
      <xdr:row>61</xdr:row>
      <xdr:rowOff>29041</xdr:rowOff>
    </xdr:from>
    <xdr:to>
      <xdr:col>2</xdr:col>
      <xdr:colOff>582882</xdr:colOff>
      <xdr:row>72</xdr:row>
      <xdr:rowOff>136723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9AB8C24F-018A-4E4A-8C83-81A6CAB1EC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4640" y="12485201"/>
              <a:ext cx="3315922" cy="23428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194129</xdr:colOff>
      <xdr:row>1</xdr:row>
      <xdr:rowOff>22679</xdr:rowOff>
    </xdr:from>
    <xdr:to>
      <xdr:col>8</xdr:col>
      <xdr:colOff>638629</xdr:colOff>
      <xdr:row>14</xdr:row>
      <xdr:rowOff>124279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BB0D1452-1AF7-95FE-3676-6EF72B58B8C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56429" y="225879"/>
              <a:ext cx="58547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7</xdr:col>
      <xdr:colOff>667048</xdr:colOff>
      <xdr:row>26</xdr:row>
      <xdr:rowOff>138095</xdr:rowOff>
    </xdr:from>
    <xdr:to>
      <xdr:col>11</xdr:col>
      <xdr:colOff>953146</xdr:colOff>
      <xdr:row>40</xdr:row>
      <xdr:rowOff>94877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9C7D662-E3CF-15D8-294F-17D278C996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21948" y="5421295"/>
              <a:ext cx="4565998" cy="28015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421524</xdr:colOff>
      <xdr:row>14</xdr:row>
      <xdr:rowOff>62950</xdr:rowOff>
    </xdr:from>
    <xdr:to>
      <xdr:col>18</xdr:col>
      <xdr:colOff>774926</xdr:colOff>
      <xdr:row>27</xdr:row>
      <xdr:rowOff>164550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9D562A4-5D10-7F3E-D1FD-1EFF4B955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1751346</xdr:colOff>
      <xdr:row>25</xdr:row>
      <xdr:rowOff>86548</xdr:rowOff>
    </xdr:from>
    <xdr:to>
      <xdr:col>3</xdr:col>
      <xdr:colOff>274796</xdr:colOff>
      <xdr:row>38</xdr:row>
      <xdr:rowOff>179995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6996A9E-5485-6257-2BEC-B43DCE6BD5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430E0-B2E3-854A-B571-B8D5F1C0ECA0}">
  <sheetPr>
    <tabColor theme="9" tint="0.79998168889431442"/>
  </sheetPr>
  <dimension ref="A1:P109"/>
  <sheetViews>
    <sheetView topLeftCell="A6" zoomScale="66" zoomScaleNormal="91" workbookViewId="0">
      <selection activeCell="O43" sqref="O43"/>
    </sheetView>
  </sheetViews>
  <sheetFormatPr baseColWidth="10" defaultColWidth="10.83203125" defaultRowHeight="16" x14ac:dyDescent="0.2"/>
  <cols>
    <col min="1" max="1" width="4.33203125" style="28" customWidth="1"/>
    <col min="2" max="2" width="36" style="28" customWidth="1"/>
    <col min="3" max="3" width="14.1640625" style="28" customWidth="1"/>
    <col min="4" max="4" width="12.5" style="28" bestFit="1" customWidth="1"/>
    <col min="5" max="5" width="18.33203125" style="28" customWidth="1"/>
    <col min="6" max="6" width="14.1640625" style="28" customWidth="1"/>
    <col min="7" max="7" width="14.83203125" style="28" bestFit="1" customWidth="1"/>
    <col min="8" max="8" width="14.33203125" style="28" customWidth="1"/>
    <col min="9" max="9" width="15" style="28" customWidth="1"/>
    <col min="10" max="13" width="15.6640625" style="28" bestFit="1" customWidth="1"/>
    <col min="14" max="14" width="11" style="28" customWidth="1"/>
    <col min="15" max="16384" width="10.83203125" style="28"/>
  </cols>
  <sheetData>
    <row r="1" spans="1:13" x14ac:dyDescent="0.2">
      <c r="A1" s="68"/>
    </row>
    <row r="2" spans="1:13" x14ac:dyDescent="0.2">
      <c r="A2" s="68"/>
    </row>
    <row r="3" spans="1:13" x14ac:dyDescent="0.2">
      <c r="A3" s="68"/>
      <c r="C3" s="28" t="s">
        <v>166</v>
      </c>
    </row>
    <row r="4" spans="1:13" x14ac:dyDescent="0.2">
      <c r="A4" s="68"/>
      <c r="C4" s="28" t="s">
        <v>167</v>
      </c>
    </row>
    <row r="5" spans="1:13" x14ac:dyDescent="0.2">
      <c r="A5" s="68"/>
    </row>
    <row r="6" spans="1:13" x14ac:dyDescent="0.2">
      <c r="A6" s="68"/>
      <c r="B6" s="72" t="s">
        <v>156</v>
      </c>
      <c r="C6" s="33"/>
      <c r="D6" s="33"/>
      <c r="E6" s="72" t="s">
        <v>154</v>
      </c>
      <c r="F6" s="33"/>
      <c r="G6" s="33"/>
      <c r="I6" s="60"/>
      <c r="J6" s="61"/>
      <c r="K6" s="61"/>
    </row>
    <row r="7" spans="1:13" x14ac:dyDescent="0.2">
      <c r="A7" s="68"/>
      <c r="B7" s="28" t="s">
        <v>149</v>
      </c>
      <c r="C7" s="46" t="s">
        <v>153</v>
      </c>
      <c r="E7" s="28" t="s">
        <v>155</v>
      </c>
      <c r="G7" s="47">
        <v>33001000</v>
      </c>
      <c r="K7" s="46"/>
    </row>
    <row r="8" spans="1:13" x14ac:dyDescent="0.2">
      <c r="A8" s="68"/>
      <c r="B8" s="28" t="s">
        <v>150</v>
      </c>
      <c r="C8" s="48">
        <v>28</v>
      </c>
      <c r="E8" s="28" t="s">
        <v>157</v>
      </c>
      <c r="G8" s="47">
        <v>5000000</v>
      </c>
      <c r="K8" s="62"/>
    </row>
    <row r="9" spans="1:13" x14ac:dyDescent="0.2">
      <c r="A9" s="68"/>
      <c r="B9" s="28" t="s">
        <v>151</v>
      </c>
      <c r="C9" s="48">
        <f>C68</f>
        <v>31.754593898158774</v>
      </c>
      <c r="E9" s="28" t="s">
        <v>159</v>
      </c>
      <c r="G9" s="47">
        <f>G7*C8</f>
        <v>924028000</v>
      </c>
      <c r="K9" s="63"/>
    </row>
    <row r="10" spans="1:13" x14ac:dyDescent="0.2">
      <c r="A10" s="68"/>
      <c r="B10" s="28" t="str">
        <f>IF(C9&gt;C8,"Upside","Downside")</f>
        <v>Upside</v>
      </c>
      <c r="C10" s="49">
        <f>1-(28/C68)</f>
        <v>0.1182378181311422</v>
      </c>
      <c r="E10" s="28" t="s">
        <v>158</v>
      </c>
      <c r="G10" s="47">
        <f>SUM(G7:G8)*C9</f>
        <v>1206706322.7239316</v>
      </c>
      <c r="J10" s="36"/>
    </row>
    <row r="11" spans="1:13" x14ac:dyDescent="0.2">
      <c r="A11" s="68"/>
      <c r="B11" s="28" t="s">
        <v>152</v>
      </c>
      <c r="C11" s="55">
        <f>IRR(C31:M31)</f>
        <v>0.2830868470269392</v>
      </c>
      <c r="E11" s="28" t="s">
        <v>160</v>
      </c>
      <c r="G11" s="47">
        <f>G10-G9</f>
        <v>282678322.72393155</v>
      </c>
      <c r="J11" s="36"/>
    </row>
    <row r="12" spans="1:13" x14ac:dyDescent="0.2">
      <c r="A12" s="68"/>
    </row>
    <row r="13" spans="1:13" x14ac:dyDescent="0.2">
      <c r="A13" s="68" t="s">
        <v>184</v>
      </c>
      <c r="B13" s="72" t="s">
        <v>130</v>
      </c>
      <c r="C13" s="107">
        <v>1995</v>
      </c>
      <c r="D13" s="80">
        <v>1996</v>
      </c>
      <c r="E13" s="80">
        <v>1997</v>
      </c>
      <c r="F13" s="80">
        <v>1998</v>
      </c>
      <c r="G13" s="80">
        <v>1999</v>
      </c>
      <c r="H13" s="80">
        <v>2000</v>
      </c>
      <c r="I13" s="80">
        <v>2001</v>
      </c>
      <c r="J13" s="80">
        <v>2002</v>
      </c>
      <c r="K13" s="80">
        <v>2003</v>
      </c>
      <c r="L13" s="80">
        <v>2004</v>
      </c>
      <c r="M13" s="80">
        <v>2005</v>
      </c>
    </row>
    <row r="14" spans="1:13" x14ac:dyDescent="0.2">
      <c r="A14" s="68"/>
      <c r="B14" s="28" t="s">
        <v>4</v>
      </c>
      <c r="C14" s="47">
        <f>16625391*2</f>
        <v>33250782</v>
      </c>
      <c r="D14" s="47">
        <f t="shared" ref="D14:M14" si="0">C14*(1+C36)</f>
        <v>63176485.799999997</v>
      </c>
      <c r="E14" s="47">
        <f t="shared" si="0"/>
        <v>114570556.99829999</v>
      </c>
      <c r="F14" s="47">
        <f t="shared" si="0"/>
        <v>197863351.93606406</v>
      </c>
      <c r="G14" s="47">
        <f t="shared" si="0"/>
        <v>324594828.85111308</v>
      </c>
      <c r="H14" s="47">
        <f t="shared" si="0"/>
        <v>504420364.03462964</v>
      </c>
      <c r="I14" s="47">
        <f t="shared" si="0"/>
        <v>740236884.22081888</v>
      </c>
      <c r="J14" s="47">
        <f t="shared" si="0"/>
        <v>1022267137.1089507</v>
      </c>
      <c r="K14" s="47">
        <f t="shared" si="0"/>
        <v>1323324808.9875364</v>
      </c>
      <c r="L14" s="47">
        <f t="shared" si="0"/>
        <v>1598576369.2569439</v>
      </c>
      <c r="M14" s="47">
        <f t="shared" si="0"/>
        <v>1792803398.1216626</v>
      </c>
    </row>
    <row r="15" spans="1:13" x14ac:dyDescent="0.2">
      <c r="A15" s="68"/>
      <c r="B15" s="28" t="s">
        <v>95</v>
      </c>
      <c r="C15" s="36">
        <f t="shared" ref="C15:M15" si="1">-C14*$C$37</f>
        <v>-3391579.764</v>
      </c>
      <c r="D15" s="36">
        <f t="shared" si="1"/>
        <v>-6444001.551599999</v>
      </c>
      <c r="E15" s="36">
        <f t="shared" si="1"/>
        <v>-11686196.813826598</v>
      </c>
      <c r="F15" s="36">
        <f t="shared" si="1"/>
        <v>-20182061.897478532</v>
      </c>
      <c r="G15" s="36">
        <f t="shared" si="1"/>
        <v>-33108672.542813532</v>
      </c>
      <c r="H15" s="36">
        <f t="shared" si="1"/>
        <v>-51450877.131532222</v>
      </c>
      <c r="I15" s="36">
        <f t="shared" si="1"/>
        <v>-75504162.19052352</v>
      </c>
      <c r="J15" s="36">
        <f t="shared" si="1"/>
        <v>-104271247.98511297</v>
      </c>
      <c r="K15" s="36">
        <f t="shared" si="1"/>
        <v>-134979130.5167287</v>
      </c>
      <c r="L15" s="36">
        <f t="shared" si="1"/>
        <v>-163054789.66420826</v>
      </c>
      <c r="M15" s="36">
        <f t="shared" si="1"/>
        <v>-182865946.60840958</v>
      </c>
    </row>
    <row r="16" spans="1:13" x14ac:dyDescent="0.2">
      <c r="A16" s="68"/>
      <c r="B16" s="28" t="s">
        <v>9</v>
      </c>
      <c r="C16" s="36">
        <f t="shared" ref="C16:M16" si="2">-C14*$C$38</f>
        <v>-12369290.903999999</v>
      </c>
      <c r="D16" s="36">
        <f t="shared" si="2"/>
        <v>-23501652.717599999</v>
      </c>
      <c r="E16" s="36">
        <f t="shared" si="2"/>
        <v>-42620247.203367591</v>
      </c>
      <c r="F16" s="36">
        <f t="shared" si="2"/>
        <v>-73605166.92021583</v>
      </c>
      <c r="G16" s="36">
        <f t="shared" si="2"/>
        <v>-120749276.33261406</v>
      </c>
      <c r="H16" s="36">
        <f t="shared" si="2"/>
        <v>-187644375.42088223</v>
      </c>
      <c r="I16" s="36">
        <f t="shared" si="2"/>
        <v>-275368120.93014461</v>
      </c>
      <c r="J16" s="36">
        <f t="shared" si="2"/>
        <v>-380283375.00452965</v>
      </c>
      <c r="K16" s="36">
        <f t="shared" si="2"/>
        <v>-492276828.94336355</v>
      </c>
      <c r="L16" s="36">
        <f t="shared" si="2"/>
        <v>-594670409.36358309</v>
      </c>
      <c r="M16" s="36">
        <f t="shared" si="2"/>
        <v>-666922864.10125852</v>
      </c>
    </row>
    <row r="17" spans="1:13" x14ac:dyDescent="0.2">
      <c r="A17" s="68"/>
      <c r="B17" s="28" t="s">
        <v>0</v>
      </c>
      <c r="C17" s="36">
        <f t="shared" ref="C17:M17" si="3">-C14*C39</f>
        <v>-25603102.140000001</v>
      </c>
      <c r="D17" s="36">
        <f t="shared" si="3"/>
        <v>-42749422.057999998</v>
      </c>
      <c r="E17" s="36">
        <f t="shared" si="3"/>
        <v>-66832824.915674984</v>
      </c>
      <c r="F17" s="36">
        <f t="shared" si="3"/>
        <v>-96953042.448671386</v>
      </c>
      <c r="G17" s="36">
        <f t="shared" si="3"/>
        <v>-128755948.77760817</v>
      </c>
      <c r="H17" s="36">
        <f t="shared" si="3"/>
        <v>-153007510.42383763</v>
      </c>
      <c r="I17" s="36">
        <f t="shared" si="3"/>
        <v>-155449745.68637195</v>
      </c>
      <c r="J17" s="36">
        <f t="shared" si="3"/>
        <v>-214676098.79287964</v>
      </c>
      <c r="K17" s="36">
        <f t="shared" si="3"/>
        <v>-277898209.88738263</v>
      </c>
      <c r="L17" s="36">
        <f t="shared" si="3"/>
        <v>-335701037.54395819</v>
      </c>
      <c r="M17" s="36">
        <f t="shared" si="3"/>
        <v>-376488713.60554916</v>
      </c>
    </row>
    <row r="18" spans="1:13" x14ac:dyDescent="0.2">
      <c r="A18" s="68"/>
      <c r="B18" s="74" t="s">
        <v>14</v>
      </c>
      <c r="C18" s="34">
        <f t="shared" ref="C18:M18" si="4">SUM(C14:C17)</f>
        <v>-8113190.8079999983</v>
      </c>
      <c r="D18" s="34">
        <f t="shared" si="4"/>
        <v>-9518590.5272000022</v>
      </c>
      <c r="E18" s="34">
        <f t="shared" si="4"/>
        <v>-6568711.93456918</v>
      </c>
      <c r="F18" s="34">
        <f t="shared" si="4"/>
        <v>7123080.6696983278</v>
      </c>
      <c r="G18" s="34">
        <f t="shared" si="4"/>
        <v>41980931.198077306</v>
      </c>
      <c r="H18" s="34">
        <f t="shared" si="4"/>
        <v>112317601.05837753</v>
      </c>
      <c r="I18" s="34">
        <f t="shared" si="4"/>
        <v>233914855.41377881</v>
      </c>
      <c r="J18" s="34">
        <f t="shared" si="4"/>
        <v>323036415.32642835</v>
      </c>
      <c r="K18" s="34">
        <f t="shared" si="4"/>
        <v>418170639.64006162</v>
      </c>
      <c r="L18" s="34">
        <f t="shared" si="4"/>
        <v>505150132.68519449</v>
      </c>
      <c r="M18" s="34">
        <f t="shared" si="4"/>
        <v>566525873.80644536</v>
      </c>
    </row>
    <row r="19" spans="1:13" x14ac:dyDescent="0.2">
      <c r="A19" s="68"/>
      <c r="B19" s="28" t="s">
        <v>15</v>
      </c>
      <c r="C19" s="36">
        <f t="shared" ref="C19:M19" si="5">-C41</f>
        <v>-1352209</v>
      </c>
      <c r="D19" s="36">
        <f t="shared" si="5"/>
        <v>-1352209</v>
      </c>
      <c r="E19" s="36">
        <f t="shared" si="5"/>
        <v>-1352209</v>
      </c>
      <c r="F19" s="36">
        <f t="shared" si="5"/>
        <v>-1352209</v>
      </c>
      <c r="G19" s="36">
        <f t="shared" si="5"/>
        <v>-1352209</v>
      </c>
      <c r="H19" s="36">
        <f t="shared" si="5"/>
        <v>-1352209</v>
      </c>
      <c r="I19" s="36">
        <f t="shared" si="5"/>
        <v>-1352209</v>
      </c>
      <c r="J19" s="36">
        <f t="shared" si="5"/>
        <v>-1352209</v>
      </c>
      <c r="K19" s="36">
        <f t="shared" si="5"/>
        <v>-1352209</v>
      </c>
      <c r="L19" s="36">
        <f t="shared" si="5"/>
        <v>-1352209</v>
      </c>
      <c r="M19" s="36">
        <f t="shared" si="5"/>
        <v>0</v>
      </c>
    </row>
    <row r="20" spans="1:13" x14ac:dyDescent="0.2">
      <c r="A20" s="68"/>
      <c r="B20" s="74" t="s">
        <v>16</v>
      </c>
      <c r="C20" s="34">
        <f t="shared" ref="C20:M20" si="6">SUM(C18:C19)</f>
        <v>-9465399.8079999983</v>
      </c>
      <c r="D20" s="34">
        <f t="shared" si="6"/>
        <v>-10870799.527200002</v>
      </c>
      <c r="E20" s="34">
        <f t="shared" si="6"/>
        <v>-7920920.93456918</v>
      </c>
      <c r="F20" s="34">
        <f t="shared" si="6"/>
        <v>5770871.6696983278</v>
      </c>
      <c r="G20" s="34">
        <f t="shared" si="6"/>
        <v>40628722.198077306</v>
      </c>
      <c r="H20" s="34">
        <f t="shared" si="6"/>
        <v>110965392.05837753</v>
      </c>
      <c r="I20" s="34">
        <f t="shared" si="6"/>
        <v>232562646.41377881</v>
      </c>
      <c r="J20" s="34">
        <f t="shared" si="6"/>
        <v>321684206.32642835</v>
      </c>
      <c r="K20" s="34">
        <f t="shared" si="6"/>
        <v>416818430.64006162</v>
      </c>
      <c r="L20" s="34">
        <f t="shared" si="6"/>
        <v>503797923.68519449</v>
      </c>
      <c r="M20" s="34">
        <f t="shared" si="6"/>
        <v>566525873.80644536</v>
      </c>
    </row>
    <row r="21" spans="1:13" x14ac:dyDescent="0.2">
      <c r="A21" s="68"/>
      <c r="B21" s="52" t="s">
        <v>83</v>
      </c>
      <c r="C21" s="36">
        <v>12090000</v>
      </c>
      <c r="D21" s="36">
        <f>C25</f>
        <v>21555399.807999998</v>
      </c>
      <c r="E21" s="36">
        <f t="shared" ref="E21:M21" si="7">D25</f>
        <v>32426199.335200001</v>
      </c>
      <c r="F21" s="36">
        <f t="shared" si="7"/>
        <v>40347120.269769177</v>
      </c>
      <c r="G21" s="36">
        <f t="shared" si="7"/>
        <v>35730422.934010513</v>
      </c>
      <c r="H21" s="51">
        <f t="shared" si="7"/>
        <v>3227445.1755486652</v>
      </c>
      <c r="I21" s="51">
        <f t="shared" si="7"/>
        <v>0</v>
      </c>
      <c r="J21" s="51">
        <f t="shared" si="7"/>
        <v>0</v>
      </c>
      <c r="K21" s="51">
        <f t="shared" si="7"/>
        <v>0</v>
      </c>
      <c r="L21" s="51">
        <f t="shared" si="7"/>
        <v>0</v>
      </c>
      <c r="M21" s="51">
        <f t="shared" si="7"/>
        <v>0</v>
      </c>
    </row>
    <row r="22" spans="1:13" x14ac:dyDescent="0.2">
      <c r="A22" s="68"/>
      <c r="B22" s="52" t="s">
        <v>84</v>
      </c>
      <c r="C22" s="36">
        <f>-(C20)</f>
        <v>9465399.8079999983</v>
      </c>
      <c r="D22" s="36">
        <f t="shared" ref="D22:E22" si="8">-(D20)</f>
        <v>10870799.527200002</v>
      </c>
      <c r="E22" s="36">
        <f t="shared" si="8"/>
        <v>7920920.93456918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</row>
    <row r="23" spans="1:13" x14ac:dyDescent="0.2">
      <c r="A23" s="68"/>
      <c r="B23" s="75" t="s">
        <v>87</v>
      </c>
      <c r="C23" s="34">
        <f>C21+C22</f>
        <v>21555399.807999998</v>
      </c>
      <c r="D23" s="34">
        <f t="shared" ref="D23:M23" si="9">D21+D22</f>
        <v>32426199.335200001</v>
      </c>
      <c r="E23" s="34">
        <f t="shared" si="9"/>
        <v>40347120.269769177</v>
      </c>
      <c r="F23" s="34">
        <f t="shared" si="9"/>
        <v>40347120.269769177</v>
      </c>
      <c r="G23" s="34">
        <f t="shared" si="9"/>
        <v>35730422.934010513</v>
      </c>
      <c r="H23" s="34">
        <f t="shared" si="9"/>
        <v>3227445.1755486652</v>
      </c>
      <c r="I23" s="34">
        <f t="shared" si="9"/>
        <v>0</v>
      </c>
      <c r="J23" s="34">
        <f t="shared" si="9"/>
        <v>0</v>
      </c>
      <c r="K23" s="34">
        <f t="shared" si="9"/>
        <v>0</v>
      </c>
      <c r="L23" s="34">
        <f t="shared" si="9"/>
        <v>0</v>
      </c>
      <c r="M23" s="34">
        <f t="shared" si="9"/>
        <v>0</v>
      </c>
    </row>
    <row r="24" spans="1:13" x14ac:dyDescent="0.2">
      <c r="A24" s="68"/>
      <c r="B24" s="52" t="s">
        <v>85</v>
      </c>
      <c r="C24" s="36">
        <v>0</v>
      </c>
      <c r="D24" s="36">
        <v>0</v>
      </c>
      <c r="E24" s="36">
        <v>0</v>
      </c>
      <c r="F24" s="36">
        <f>F20*0.8</f>
        <v>4616697.3357586628</v>
      </c>
      <c r="G24" s="36">
        <f>MIN(G20*0.8,G23)</f>
        <v>32502977.758461848</v>
      </c>
      <c r="H24" s="36">
        <f>MIN(H20*0.8,H23)</f>
        <v>3227445.1755486652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</row>
    <row r="25" spans="1:13" x14ac:dyDescent="0.2">
      <c r="A25" s="68"/>
      <c r="B25" s="52" t="s">
        <v>86</v>
      </c>
      <c r="C25" s="36">
        <f t="shared" ref="C25:H25" si="10">C23-C24</f>
        <v>21555399.807999998</v>
      </c>
      <c r="D25" s="36">
        <f t="shared" si="10"/>
        <v>32426199.335200001</v>
      </c>
      <c r="E25" s="36">
        <f t="shared" si="10"/>
        <v>40347120.269769177</v>
      </c>
      <c r="F25" s="36">
        <f t="shared" si="10"/>
        <v>35730422.934010513</v>
      </c>
      <c r="G25" s="36">
        <f t="shared" si="10"/>
        <v>3227445.1755486652</v>
      </c>
      <c r="H25" s="36">
        <f t="shared" si="10"/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</row>
    <row r="26" spans="1:13" x14ac:dyDescent="0.2">
      <c r="A26" s="68"/>
      <c r="B26" s="53" t="s">
        <v>67</v>
      </c>
      <c r="C26" s="36">
        <v>0</v>
      </c>
      <c r="D26" s="36">
        <v>0</v>
      </c>
      <c r="E26" s="36">
        <v>0</v>
      </c>
      <c r="F26" s="36">
        <v>0</v>
      </c>
      <c r="G26" s="36">
        <f>-(G20-G24)*$C$45</f>
        <v>-2844010.5538654104</v>
      </c>
      <c r="H26" s="36">
        <f>-(H20-H24)*$C$45</f>
        <v>-37708281.4089901</v>
      </c>
      <c r="I26" s="36">
        <f t="shared" ref="I26:M26" si="11">-(I$20*$C$45)</f>
        <v>-81396926.244822577</v>
      </c>
      <c r="J26" s="36">
        <f t="shared" si="11"/>
        <v>-112589472.21424992</v>
      </c>
      <c r="K26" s="36">
        <f t="shared" si="11"/>
        <v>-145886450.72402155</v>
      </c>
      <c r="L26" s="36">
        <f t="shared" si="11"/>
        <v>-176329273.28981805</v>
      </c>
      <c r="M26" s="36">
        <f t="shared" si="11"/>
        <v>-198284055.83225587</v>
      </c>
    </row>
    <row r="27" spans="1:13" x14ac:dyDescent="0.2">
      <c r="A27" s="68"/>
      <c r="B27" s="74" t="s">
        <v>19</v>
      </c>
      <c r="C27" s="34">
        <f>C20+C26</f>
        <v>-9465399.8079999983</v>
      </c>
      <c r="D27" s="34">
        <f t="shared" ref="D27:H27" si="12">D20+D26</f>
        <v>-10870799.527200002</v>
      </c>
      <c r="E27" s="34">
        <f t="shared" si="12"/>
        <v>-7920920.93456918</v>
      </c>
      <c r="F27" s="34">
        <f t="shared" si="12"/>
        <v>5770871.6696983278</v>
      </c>
      <c r="G27" s="34">
        <f t="shared" si="12"/>
        <v>37784711.644211896</v>
      </c>
      <c r="H27" s="34">
        <f t="shared" si="12"/>
        <v>73257110.649387434</v>
      </c>
      <c r="I27" s="34">
        <f t="shared" ref="I27" si="13">I20+I26</f>
        <v>151165720.16895622</v>
      </c>
      <c r="J27" s="34">
        <f t="shared" ref="J27" si="14">J20+J26</f>
        <v>209094734.11217844</v>
      </c>
      <c r="K27" s="34">
        <f t="shared" ref="K27" si="15">K20+K26</f>
        <v>270931979.91604006</v>
      </c>
      <c r="L27" s="34">
        <f t="shared" ref="L27:M27" si="16">L20+L26</f>
        <v>327468650.39537644</v>
      </c>
      <c r="M27" s="34">
        <f t="shared" si="16"/>
        <v>368241817.97418952</v>
      </c>
    </row>
    <row r="28" spans="1:13" x14ac:dyDescent="0.2">
      <c r="A28" s="68"/>
      <c r="B28" s="28" t="s">
        <v>15</v>
      </c>
      <c r="C28" s="36">
        <f t="shared" ref="C28:M28" si="17">C41</f>
        <v>1352209</v>
      </c>
      <c r="D28" s="36">
        <f t="shared" si="17"/>
        <v>1352209</v>
      </c>
      <c r="E28" s="36">
        <f t="shared" si="17"/>
        <v>1352209</v>
      </c>
      <c r="F28" s="36">
        <f t="shared" si="17"/>
        <v>1352209</v>
      </c>
      <c r="G28" s="36">
        <f t="shared" si="17"/>
        <v>1352209</v>
      </c>
      <c r="H28" s="36">
        <f t="shared" si="17"/>
        <v>1352209</v>
      </c>
      <c r="I28" s="36">
        <f t="shared" si="17"/>
        <v>1352209</v>
      </c>
      <c r="J28" s="36">
        <f t="shared" si="17"/>
        <v>1352209</v>
      </c>
      <c r="K28" s="36">
        <f t="shared" si="17"/>
        <v>1352209</v>
      </c>
      <c r="L28" s="36">
        <f t="shared" si="17"/>
        <v>1352209</v>
      </c>
      <c r="M28" s="36">
        <f t="shared" si="17"/>
        <v>0</v>
      </c>
    </row>
    <row r="29" spans="1:13" x14ac:dyDescent="0.2">
      <c r="A29" s="68"/>
      <c r="B29" s="28" t="s">
        <v>1</v>
      </c>
      <c r="C29" s="36">
        <f t="shared" ref="C29:M29" si="18">-C14*C40</f>
        <v>-14623693.923600001</v>
      </c>
      <c r="D29" s="36">
        <f t="shared" si="18"/>
        <v>-24032335.198320001</v>
      </c>
      <c r="E29" s="36">
        <f t="shared" si="18"/>
        <v>-36777148.796454296</v>
      </c>
      <c r="F29" s="36">
        <f t="shared" si="18"/>
        <v>-51761052.86647436</v>
      </c>
      <c r="G29" s="36">
        <f t="shared" si="18"/>
        <v>-65633074.393695064</v>
      </c>
      <c r="H29" s="36">
        <f t="shared" si="18"/>
        <v>-72031227.984145105</v>
      </c>
      <c r="I29" s="36">
        <f t="shared" si="18"/>
        <v>-61735756.144016296</v>
      </c>
      <c r="J29" s="36">
        <f t="shared" si="18"/>
        <v>-81781370.968716055</v>
      </c>
      <c r="K29" s="36">
        <f t="shared" si="18"/>
        <v>-105865984.71900292</v>
      </c>
      <c r="L29" s="36">
        <f t="shared" si="18"/>
        <v>-127886109.54055552</v>
      </c>
      <c r="M29" s="36">
        <f t="shared" si="18"/>
        <v>-143424271.84973302</v>
      </c>
    </row>
    <row r="30" spans="1:13" x14ac:dyDescent="0.2">
      <c r="A30" s="68"/>
      <c r="B30" s="28" t="s">
        <v>20</v>
      </c>
      <c r="C30" s="54" t="s">
        <v>58</v>
      </c>
      <c r="D30" s="54" t="s">
        <v>58</v>
      </c>
      <c r="E30" s="54" t="s">
        <v>58</v>
      </c>
      <c r="F30" s="54" t="s">
        <v>58</v>
      </c>
      <c r="G30" s="54" t="s">
        <v>58</v>
      </c>
      <c r="H30" s="54" t="s">
        <v>58</v>
      </c>
      <c r="I30" s="54" t="s">
        <v>58</v>
      </c>
      <c r="J30" s="54" t="s">
        <v>58</v>
      </c>
      <c r="K30" s="54" t="s">
        <v>58</v>
      </c>
      <c r="L30" s="54" t="s">
        <v>58</v>
      </c>
      <c r="M30" s="54" t="s">
        <v>58</v>
      </c>
    </row>
    <row r="31" spans="1:13" ht="17" thickBot="1" x14ac:dyDescent="0.25">
      <c r="A31" s="68"/>
      <c r="B31" s="76" t="s">
        <v>131</v>
      </c>
      <c r="C31" s="77">
        <f>SUM(C27:C30)</f>
        <v>-22736884.731600001</v>
      </c>
      <c r="D31" s="77">
        <f>SUM(D27:D30)</f>
        <v>-33550925.725520004</v>
      </c>
      <c r="E31" s="77">
        <f t="shared" ref="E31:I31" si="19">SUM(E27:E30)</f>
        <v>-43345860.731023476</v>
      </c>
      <c r="F31" s="77">
        <f t="shared" si="19"/>
        <v>-44637972.196776032</v>
      </c>
      <c r="G31" s="77">
        <f t="shared" si="19"/>
        <v>-26496153.749483168</v>
      </c>
      <c r="H31" s="77">
        <f t="shared" si="19"/>
        <v>2578091.6652423292</v>
      </c>
      <c r="I31" s="77">
        <f t="shared" si="19"/>
        <v>90782173.024939924</v>
      </c>
      <c r="J31" s="77">
        <f t="shared" ref="J31" si="20">SUM(J27:J30)</f>
        <v>128665572.14346239</v>
      </c>
      <c r="K31" s="77">
        <f t="shared" ref="K31" si="21">SUM(K27:K30)</f>
        <v>166418204.19703716</v>
      </c>
      <c r="L31" s="77">
        <f t="shared" ref="L31" si="22">SUM(L27:L30)</f>
        <v>200934749.85482091</v>
      </c>
      <c r="M31" s="77">
        <f t="shared" ref="M31" si="23">SUM(M27:M30)</f>
        <v>224817546.1244565</v>
      </c>
    </row>
    <row r="32" spans="1:13" ht="17" thickTop="1" x14ac:dyDescent="0.2">
      <c r="A32" s="68"/>
      <c r="F32" s="36"/>
    </row>
    <row r="33" spans="1:13" x14ac:dyDescent="0.2">
      <c r="A33" s="68"/>
      <c r="B33" s="38" t="s">
        <v>74</v>
      </c>
      <c r="C33" s="78">
        <f>SUM($C$31:C31)</f>
        <v>-22736884.731600001</v>
      </c>
      <c r="D33" s="78">
        <f>SUM($C$31:D31)</f>
        <v>-56287810.457120001</v>
      </c>
      <c r="E33" s="78">
        <f>SUM($C$31:E31)</f>
        <v>-99633671.188143477</v>
      </c>
      <c r="F33" s="78">
        <f>SUM($C$31:F31)</f>
        <v>-144271643.38491952</v>
      </c>
      <c r="G33" s="78">
        <f>SUM($C$31:G31)</f>
        <v>-170767797.13440269</v>
      </c>
      <c r="H33" s="78">
        <f>SUM($C$31:H31)</f>
        <v>-168189705.46916038</v>
      </c>
      <c r="I33" s="78">
        <f>SUM($C$31:I31)</f>
        <v>-77407532.444220454</v>
      </c>
      <c r="J33" s="78">
        <f>SUM($C$31:J31)</f>
        <v>51258039.699241936</v>
      </c>
      <c r="K33" s="78">
        <f>SUM($C$31:K31)</f>
        <v>217676243.8962791</v>
      </c>
      <c r="L33" s="78">
        <f>SUM($C$31:L31)</f>
        <v>418610993.7511</v>
      </c>
      <c r="M33" s="39">
        <f>SUM($C$31:M31)</f>
        <v>643428539.87555647</v>
      </c>
    </row>
    <row r="34" spans="1:13" x14ac:dyDescent="0.2">
      <c r="A34" s="68"/>
    </row>
    <row r="35" spans="1:13" x14ac:dyDescent="0.2">
      <c r="A35" s="68" t="s">
        <v>184</v>
      </c>
      <c r="B35" s="72" t="s">
        <v>168</v>
      </c>
      <c r="C35" s="72">
        <v>1995</v>
      </c>
      <c r="D35" s="72">
        <v>1996</v>
      </c>
      <c r="E35" s="72">
        <v>1997</v>
      </c>
      <c r="F35" s="72">
        <v>1998</v>
      </c>
      <c r="G35" s="72">
        <v>1999</v>
      </c>
      <c r="H35" s="72">
        <v>2000</v>
      </c>
      <c r="I35" s="72">
        <v>2001</v>
      </c>
      <c r="J35" s="72">
        <v>2002</v>
      </c>
      <c r="K35" s="72">
        <v>2003</v>
      </c>
      <c r="L35" s="72">
        <v>2004</v>
      </c>
      <c r="M35" s="72">
        <v>2005</v>
      </c>
    </row>
    <row r="36" spans="1:13" x14ac:dyDescent="0.2">
      <c r="A36" s="68"/>
      <c r="B36" s="28" t="s">
        <v>68</v>
      </c>
      <c r="C36" s="50">
        <v>0.9</v>
      </c>
      <c r="D36" s="55">
        <f t="shared" ref="D36:M36" si="24">C36-($C$36-$C$43)/10</f>
        <v>0.8135</v>
      </c>
      <c r="E36" s="55">
        <f t="shared" si="24"/>
        <v>0.72699999999999998</v>
      </c>
      <c r="F36" s="55">
        <f t="shared" si="24"/>
        <v>0.64049999999999996</v>
      </c>
      <c r="G36" s="55">
        <f t="shared" si="24"/>
        <v>0.55399999999999994</v>
      </c>
      <c r="H36" s="55">
        <f t="shared" si="24"/>
        <v>0.46749999999999992</v>
      </c>
      <c r="I36" s="55">
        <f t="shared" si="24"/>
        <v>0.38099999999999989</v>
      </c>
      <c r="J36" s="55">
        <f t="shared" si="24"/>
        <v>0.29449999999999987</v>
      </c>
      <c r="K36" s="55">
        <f t="shared" si="24"/>
        <v>0.20799999999999988</v>
      </c>
      <c r="L36" s="55">
        <f t="shared" si="24"/>
        <v>0.12149999999999989</v>
      </c>
      <c r="M36" s="55">
        <f t="shared" si="24"/>
        <v>3.4999999999999892E-2</v>
      </c>
    </row>
    <row r="37" spans="1:13" x14ac:dyDescent="0.2">
      <c r="A37" s="68"/>
      <c r="B37" s="28" t="s">
        <v>59</v>
      </c>
      <c r="C37" s="56">
        <v>0.10199999999999999</v>
      </c>
      <c r="D37" s="56"/>
      <c r="E37" s="56"/>
      <c r="F37" s="56"/>
      <c r="G37" s="56"/>
      <c r="H37" s="56"/>
      <c r="I37" s="56"/>
    </row>
    <row r="38" spans="1:13" x14ac:dyDescent="0.2">
      <c r="A38" s="68"/>
      <c r="B38" s="28" t="s">
        <v>60</v>
      </c>
      <c r="C38" s="56">
        <v>0.372</v>
      </c>
      <c r="D38" s="56"/>
      <c r="E38" s="56"/>
      <c r="F38" s="56"/>
      <c r="G38" s="56"/>
      <c r="H38" s="56"/>
      <c r="I38" s="56"/>
    </row>
    <row r="39" spans="1:13" x14ac:dyDescent="0.2">
      <c r="A39" s="68"/>
      <c r="B39" s="28" t="s">
        <v>61</v>
      </c>
      <c r="C39" s="56">
        <v>0.77</v>
      </c>
      <c r="D39" s="56">
        <f>C39-($C$39-0.21)/6</f>
        <v>0.67666666666666664</v>
      </c>
      <c r="E39" s="56">
        <f>D39-($C$39-0.21)/6</f>
        <v>0.58333333333333326</v>
      </c>
      <c r="F39" s="56">
        <f t="shared" ref="F39:I39" si="25">E39-($C$39-0.21)/6</f>
        <v>0.48999999999999994</v>
      </c>
      <c r="G39" s="56">
        <f t="shared" si="25"/>
        <v>0.39666666666666661</v>
      </c>
      <c r="H39" s="56">
        <f t="shared" si="25"/>
        <v>0.30333333333333329</v>
      </c>
      <c r="I39" s="56">
        <f t="shared" si="25"/>
        <v>0.20999999999999996</v>
      </c>
      <c r="J39" s="40">
        <v>0.21</v>
      </c>
      <c r="K39" s="40">
        <v>0.21</v>
      </c>
      <c r="L39" s="40">
        <v>0.21</v>
      </c>
      <c r="M39" s="40">
        <v>0.21</v>
      </c>
    </row>
    <row r="40" spans="1:13" x14ac:dyDescent="0.2">
      <c r="A40" s="68"/>
      <c r="B40" s="28" t="s">
        <v>62</v>
      </c>
      <c r="C40" s="56">
        <v>0.43980000000000002</v>
      </c>
      <c r="D40" s="56">
        <f>C40-($C$40-$I$40)/6</f>
        <v>0.38040000000000002</v>
      </c>
      <c r="E40" s="56">
        <f t="shared" ref="E40:H40" si="26">D40-($C$40-$I$40)/6</f>
        <v>0.32100000000000001</v>
      </c>
      <c r="F40" s="56">
        <f t="shared" si="26"/>
        <v>0.2616</v>
      </c>
      <c r="G40" s="56">
        <f t="shared" si="26"/>
        <v>0.20219999999999999</v>
      </c>
      <c r="H40" s="56">
        <f t="shared" si="26"/>
        <v>0.14279999999999998</v>
      </c>
      <c r="I40" s="56">
        <v>8.3400000000000002E-2</v>
      </c>
      <c r="J40" s="40">
        <v>0.08</v>
      </c>
      <c r="K40" s="40">
        <v>0.08</v>
      </c>
      <c r="L40" s="40">
        <v>0.08</v>
      </c>
      <c r="M40" s="40">
        <v>0.08</v>
      </c>
    </row>
    <row r="41" spans="1:13" s="36" customFormat="1" x14ac:dyDescent="0.2">
      <c r="A41" s="79"/>
      <c r="B41" s="28" t="s">
        <v>73</v>
      </c>
      <c r="C41" s="36">
        <v>1352209</v>
      </c>
      <c r="D41" s="36">
        <v>1352209</v>
      </c>
      <c r="E41" s="36">
        <v>1352209</v>
      </c>
      <c r="F41" s="36">
        <v>1352209</v>
      </c>
      <c r="G41" s="36">
        <v>1352209</v>
      </c>
      <c r="H41" s="36">
        <v>1352209</v>
      </c>
      <c r="I41" s="36">
        <v>1352209</v>
      </c>
      <c r="J41" s="36">
        <v>1352209</v>
      </c>
      <c r="K41" s="36">
        <v>1352209</v>
      </c>
      <c r="L41" s="36">
        <v>1352209</v>
      </c>
      <c r="M41" s="36">
        <v>0</v>
      </c>
    </row>
    <row r="42" spans="1:13" x14ac:dyDescent="0.2">
      <c r="A42" s="68"/>
      <c r="B42" s="28" t="s">
        <v>63</v>
      </c>
      <c r="C42" s="57" t="s">
        <v>58</v>
      </c>
      <c r="D42" s="57" t="s">
        <v>58</v>
      </c>
      <c r="E42" s="57" t="s">
        <v>58</v>
      </c>
      <c r="F42" s="57" t="s">
        <v>58</v>
      </c>
      <c r="G42" s="57" t="s">
        <v>58</v>
      </c>
      <c r="H42" s="57" t="s">
        <v>58</v>
      </c>
      <c r="I42" s="57" t="s">
        <v>58</v>
      </c>
      <c r="J42" s="57" t="s">
        <v>58</v>
      </c>
      <c r="K42" s="57" t="s">
        <v>58</v>
      </c>
      <c r="L42" s="57" t="s">
        <v>58</v>
      </c>
      <c r="M42" s="57" t="s">
        <v>58</v>
      </c>
    </row>
    <row r="43" spans="1:13" x14ac:dyDescent="0.2">
      <c r="A43" s="68"/>
      <c r="B43" s="28" t="s">
        <v>80</v>
      </c>
      <c r="C43" s="56">
        <v>3.5000000000000003E-2</v>
      </c>
      <c r="D43" s="64"/>
    </row>
    <row r="44" spans="1:13" x14ac:dyDescent="0.2">
      <c r="A44" s="68"/>
      <c r="B44" s="28" t="s">
        <v>64</v>
      </c>
      <c r="C44" s="56">
        <v>6.1500000000000006E-2</v>
      </c>
      <c r="E44" s="73" t="s">
        <v>177</v>
      </c>
      <c r="F44" s="73"/>
      <c r="G44" s="73"/>
      <c r="H44" s="73"/>
      <c r="J44" s="109" t="s">
        <v>176</v>
      </c>
      <c r="K44" s="109"/>
      <c r="L44" s="109"/>
      <c r="M44" s="109"/>
    </row>
    <row r="45" spans="1:13" x14ac:dyDescent="0.2">
      <c r="A45" s="68"/>
      <c r="B45" s="28" t="s">
        <v>65</v>
      </c>
      <c r="C45" s="56">
        <v>0.35</v>
      </c>
      <c r="E45" s="61"/>
      <c r="F45" s="61"/>
      <c r="G45" s="61"/>
      <c r="H45" s="61"/>
      <c r="J45" s="61"/>
      <c r="K45" s="61"/>
      <c r="L45" s="61"/>
      <c r="M45" s="61"/>
    </row>
    <row r="46" spans="1:13" x14ac:dyDescent="0.2">
      <c r="A46" s="68"/>
      <c r="B46" s="28" t="s">
        <v>132</v>
      </c>
      <c r="C46" s="56">
        <v>5.5E-2</v>
      </c>
      <c r="E46" s="61"/>
      <c r="F46" s="61"/>
      <c r="G46" s="61"/>
      <c r="H46" s="61"/>
      <c r="J46" s="61"/>
      <c r="K46" s="61"/>
      <c r="L46" s="61"/>
      <c r="M46" s="61"/>
    </row>
    <row r="47" spans="1:13" x14ac:dyDescent="0.2">
      <c r="A47" s="68"/>
      <c r="B47" s="28" t="s">
        <v>66</v>
      </c>
      <c r="C47" s="58">
        <v>1.2390000000000001</v>
      </c>
      <c r="E47" s="61"/>
      <c r="F47" s="61"/>
      <c r="G47" s="61"/>
      <c r="H47" s="61"/>
      <c r="J47" s="61"/>
      <c r="K47" s="61"/>
      <c r="L47" s="61"/>
      <c r="M47" s="61"/>
    </row>
    <row r="48" spans="1:13" x14ac:dyDescent="0.2">
      <c r="A48" s="68"/>
      <c r="B48" s="28" t="s">
        <v>77</v>
      </c>
      <c r="C48" s="56">
        <f>C44+(C47*C46)</f>
        <v>0.12964500000000001</v>
      </c>
      <c r="E48" s="61"/>
      <c r="F48" s="61"/>
      <c r="G48" s="61"/>
      <c r="H48" s="61"/>
      <c r="J48" s="61"/>
      <c r="K48" s="61"/>
      <c r="L48" s="61"/>
      <c r="M48" s="61"/>
    </row>
    <row r="49" spans="1:16" x14ac:dyDescent="0.2">
      <c r="A49" s="68"/>
      <c r="B49" s="28" t="s">
        <v>78</v>
      </c>
      <c r="C49" s="56">
        <f>C44</f>
        <v>6.1500000000000006E-2</v>
      </c>
      <c r="E49" s="61"/>
      <c r="F49" s="61"/>
      <c r="G49" s="61"/>
      <c r="H49" s="61"/>
      <c r="J49" s="61"/>
      <c r="K49" s="61"/>
      <c r="L49" s="61"/>
      <c r="M49" s="61"/>
    </row>
    <row r="50" spans="1:16" x14ac:dyDescent="0.2">
      <c r="A50" s="68"/>
      <c r="B50" s="28" t="s">
        <v>133</v>
      </c>
      <c r="C50" s="59">
        <v>0.18</v>
      </c>
      <c r="E50" s="61"/>
      <c r="F50" s="61"/>
      <c r="G50" s="61"/>
      <c r="H50" s="61"/>
      <c r="J50" s="61"/>
      <c r="K50" s="61"/>
      <c r="L50" s="61"/>
      <c r="M50" s="61"/>
      <c r="P50"/>
    </row>
    <row r="51" spans="1:16" x14ac:dyDescent="0.2">
      <c r="A51" s="68"/>
      <c r="B51" s="28" t="s">
        <v>134</v>
      </c>
      <c r="C51" s="59">
        <f>1-C50</f>
        <v>0.82000000000000006</v>
      </c>
      <c r="E51" s="61"/>
      <c r="F51" s="61"/>
      <c r="G51" s="61"/>
      <c r="H51" s="61"/>
      <c r="J51" s="61"/>
      <c r="K51" s="61"/>
      <c r="L51" s="61"/>
      <c r="M51" s="61"/>
    </row>
    <row r="52" spans="1:16" x14ac:dyDescent="0.2">
      <c r="A52" s="68"/>
      <c r="B52" s="28" t="s">
        <v>79</v>
      </c>
      <c r="C52" s="56">
        <f>(C48*C51)+(C50*C49*(1-C45))</f>
        <v>0.11350440000000001</v>
      </c>
      <c r="E52" s="61"/>
      <c r="F52" s="61"/>
      <c r="G52" s="61"/>
      <c r="H52" s="61"/>
      <c r="J52" s="61"/>
      <c r="K52" s="61"/>
      <c r="L52" s="61"/>
      <c r="M52" s="61"/>
    </row>
    <row r="53" spans="1:16" x14ac:dyDescent="0.2">
      <c r="A53" s="68"/>
      <c r="B53" s="28" t="s">
        <v>69</v>
      </c>
      <c r="C53" s="36">
        <v>33001000</v>
      </c>
      <c r="E53" s="61"/>
      <c r="F53" s="61"/>
      <c r="G53" s="61"/>
      <c r="H53" s="61"/>
      <c r="I53" s="55"/>
      <c r="J53" s="61"/>
      <c r="K53" s="61"/>
      <c r="L53" s="61"/>
      <c r="M53" s="61"/>
      <c r="N53" s="55"/>
    </row>
    <row r="54" spans="1:16" x14ac:dyDescent="0.2">
      <c r="A54" s="68"/>
      <c r="E54" s="61"/>
      <c r="F54" s="61"/>
      <c r="G54" s="61"/>
      <c r="H54" s="61"/>
      <c r="J54" s="61"/>
      <c r="K54" s="61"/>
      <c r="L54" s="61"/>
      <c r="M54" s="61"/>
      <c r="N54" s="55"/>
    </row>
    <row r="55" spans="1:16" x14ac:dyDescent="0.2">
      <c r="A55" s="68" t="s">
        <v>184</v>
      </c>
      <c r="B55" s="108" t="s">
        <v>129</v>
      </c>
      <c r="C55" s="108"/>
      <c r="D55" s="36"/>
      <c r="E55" s="61"/>
      <c r="F55" s="61"/>
      <c r="G55" s="61"/>
      <c r="H55" s="61"/>
      <c r="J55" s="61"/>
      <c r="K55" s="61"/>
      <c r="L55" s="61"/>
      <c r="M55" s="61"/>
    </row>
    <row r="56" spans="1:16" x14ac:dyDescent="0.2">
      <c r="A56" s="68"/>
      <c r="B56" s="43" t="s">
        <v>21</v>
      </c>
      <c r="C56" s="105">
        <f>($M$31*(1+$C$43))/($C$52-$C$43)</f>
        <v>2963988773.098227</v>
      </c>
      <c r="E56" s="61"/>
      <c r="F56" s="61"/>
      <c r="G56" s="61"/>
      <c r="H56" s="61"/>
      <c r="J56" s="61"/>
      <c r="K56" s="61"/>
      <c r="L56" s="61"/>
      <c r="M56" s="61"/>
    </row>
    <row r="57" spans="1:16" x14ac:dyDescent="0.2">
      <c r="A57" s="68"/>
      <c r="B57" s="29" t="s">
        <v>70</v>
      </c>
      <c r="C57" s="37">
        <f>NPV($C$52,$D$31:$M$31)+$C$31</f>
        <v>195847603.16649491</v>
      </c>
      <c r="D57" s="64"/>
      <c r="E57" s="61"/>
      <c r="F57" s="61"/>
      <c r="G57" s="61"/>
      <c r="H57" s="61"/>
      <c r="J57" s="61"/>
      <c r="K57" s="61"/>
      <c r="L57" s="61"/>
      <c r="M57" s="61"/>
    </row>
    <row r="58" spans="1:16" x14ac:dyDescent="0.2">
      <c r="A58" s="68"/>
      <c r="B58" s="29" t="s">
        <v>71</v>
      </c>
      <c r="C58" s="37">
        <f>$C$56/((1+$C$52)^10)</f>
        <v>1011479719.5574367</v>
      </c>
      <c r="D58" s="64"/>
      <c r="E58" s="61"/>
      <c r="F58" s="61"/>
      <c r="G58" s="61"/>
      <c r="H58" s="61"/>
      <c r="J58" s="61"/>
      <c r="K58" s="61"/>
      <c r="L58" s="61"/>
      <c r="M58" s="61"/>
    </row>
    <row r="59" spans="1:16" x14ac:dyDescent="0.2">
      <c r="A59" s="68"/>
      <c r="B59" s="29" t="s">
        <v>72</v>
      </c>
      <c r="C59" s="37">
        <f>SUM(C57:C58)</f>
        <v>1207327322.7239316</v>
      </c>
      <c r="D59" s="64"/>
      <c r="E59" s="61"/>
      <c r="F59" s="61"/>
      <c r="G59" s="61"/>
      <c r="H59" s="61"/>
      <c r="J59" s="61"/>
      <c r="K59" s="61"/>
      <c r="L59" s="61"/>
      <c r="M59" s="61"/>
    </row>
    <row r="60" spans="1:16" x14ac:dyDescent="0.2">
      <c r="A60" s="68"/>
      <c r="B60" s="29" t="s">
        <v>102</v>
      </c>
      <c r="C60" s="37">
        <f>25436000</f>
        <v>25436000</v>
      </c>
      <c r="J60" s="61"/>
      <c r="K60" s="61"/>
      <c r="L60" s="61"/>
      <c r="M60" s="61"/>
    </row>
    <row r="61" spans="1:16" x14ac:dyDescent="0.2">
      <c r="A61" s="68"/>
      <c r="B61" s="29" t="s">
        <v>103</v>
      </c>
      <c r="C61" s="37">
        <f>26057000</f>
        <v>26057000</v>
      </c>
      <c r="D61" s="36"/>
      <c r="E61" s="61"/>
      <c r="F61" s="61"/>
      <c r="G61" s="61"/>
      <c r="H61" s="61"/>
      <c r="J61" s="61"/>
      <c r="K61" s="61"/>
      <c r="L61" s="61"/>
      <c r="M61" s="61"/>
    </row>
    <row r="62" spans="1:16" x14ac:dyDescent="0.2">
      <c r="A62" s="68"/>
      <c r="B62" s="32" t="s">
        <v>81</v>
      </c>
      <c r="C62" s="42">
        <f>C59+C60-C61</f>
        <v>1206706322.7239316</v>
      </c>
      <c r="D62" s="36"/>
    </row>
    <row r="63" spans="1:16" x14ac:dyDescent="0.2">
      <c r="A63" s="68"/>
      <c r="C63" s="36"/>
    </row>
    <row r="64" spans="1:16" x14ac:dyDescent="0.2">
      <c r="A64" s="68" t="s">
        <v>184</v>
      </c>
      <c r="B64" s="108" t="s">
        <v>154</v>
      </c>
      <c r="C64" s="108"/>
    </row>
    <row r="65" spans="2:11" x14ac:dyDescent="0.2">
      <c r="B65" s="43" t="s">
        <v>69</v>
      </c>
      <c r="C65" s="105">
        <f>C53</f>
        <v>33001000</v>
      </c>
    </row>
    <row r="66" spans="2:11" x14ac:dyDescent="0.2">
      <c r="B66" s="29" t="s">
        <v>82</v>
      </c>
      <c r="C66" s="37">
        <f>5000000</f>
        <v>5000000</v>
      </c>
    </row>
    <row r="67" spans="2:11" x14ac:dyDescent="0.2">
      <c r="B67" s="29" t="s">
        <v>185</v>
      </c>
      <c r="C67" s="37">
        <f>C66*0.15</f>
        <v>750000</v>
      </c>
    </row>
    <row r="68" spans="2:11" x14ac:dyDescent="0.2">
      <c r="B68" s="29" t="s">
        <v>76</v>
      </c>
      <c r="C68" s="44">
        <f>C62/SUM(C65:C66)</f>
        <v>31.754593898158774</v>
      </c>
    </row>
    <row r="69" spans="2:11" x14ac:dyDescent="0.2">
      <c r="B69" s="29" t="s">
        <v>123</v>
      </c>
      <c r="C69" s="44">
        <f>C62/SUM(C65:C67)</f>
        <v>31.140004715334612</v>
      </c>
    </row>
    <row r="70" spans="2:11" x14ac:dyDescent="0.2">
      <c r="B70" s="29" t="s">
        <v>135</v>
      </c>
      <c r="C70" s="44">
        <v>28</v>
      </c>
    </row>
    <row r="71" spans="2:11" x14ac:dyDescent="0.2">
      <c r="B71" s="29" t="s">
        <v>162</v>
      </c>
      <c r="C71" s="31">
        <f>1-(C70/C68)</f>
        <v>0.1182378181311422</v>
      </c>
      <c r="D71" s="28" t="str">
        <f>IF(C68&gt;28,"Underpriced","Overpriced")</f>
        <v>Underpriced</v>
      </c>
    </row>
    <row r="72" spans="2:11" x14ac:dyDescent="0.2">
      <c r="B72" s="29" t="s">
        <v>75</v>
      </c>
      <c r="C72" s="31">
        <f>C58/C59</f>
        <v>0.83778417047281761</v>
      </c>
    </row>
    <row r="73" spans="2:11" x14ac:dyDescent="0.2">
      <c r="B73" s="29" t="s">
        <v>101</v>
      </c>
      <c r="C73" s="37">
        <f>C68*SUM(C65:C66)</f>
        <v>1206706322.7239316</v>
      </c>
    </row>
    <row r="74" spans="2:11" x14ac:dyDescent="0.2">
      <c r="B74" s="32" t="s">
        <v>163</v>
      </c>
      <c r="C74" s="45">
        <f>C59/M18</f>
        <v>2.131107118924664</v>
      </c>
    </row>
    <row r="76" spans="2:11" x14ac:dyDescent="0.2">
      <c r="D76" s="36"/>
      <c r="I76" s="36"/>
    </row>
    <row r="78" spans="2:11" ht="22" x14ac:dyDescent="0.3">
      <c r="E78" s="114"/>
      <c r="F78" s="114"/>
      <c r="G78" s="115" t="s">
        <v>178</v>
      </c>
      <c r="H78" s="115"/>
      <c r="I78" s="115"/>
      <c r="J78" s="115"/>
      <c r="K78" s="115"/>
    </row>
    <row r="79" spans="2:11" ht="22" x14ac:dyDescent="0.3">
      <c r="E79" s="116"/>
      <c r="F79" s="117"/>
      <c r="G79" s="118">
        <f>H79-0.01</f>
        <v>1.5000000000000001E-2</v>
      </c>
      <c r="H79" s="118">
        <f>I79-0.01</f>
        <v>2.5000000000000001E-2</v>
      </c>
      <c r="I79" s="118">
        <f>$C$43</f>
        <v>3.5000000000000003E-2</v>
      </c>
      <c r="J79" s="118">
        <f>I79+0.01</f>
        <v>4.5000000000000005E-2</v>
      </c>
      <c r="K79" s="118">
        <f>J79+0.01</f>
        <v>5.5000000000000007E-2</v>
      </c>
    </row>
    <row r="80" spans="2:11" ht="19" x14ac:dyDescent="0.2">
      <c r="E80" s="119" t="s">
        <v>79</v>
      </c>
      <c r="F80" s="120">
        <f>F81-0.01</f>
        <v>9.3504400000000015E-2</v>
      </c>
      <c r="G80" s="121">
        <f t="shared" ref="G80:K84" si="27">(($M$31*(1+G$79))/($F80-G$79)/((1+$F80)^10)+((NPV($F80,$D$31:$M$31)+$C$31)+($C$60-$C$61)))/(SUM($C$65:$C$66))</f>
        <v>37.706866212663066</v>
      </c>
      <c r="H80" s="121">
        <f t="shared" si="27"/>
        <v>42.627690964040482</v>
      </c>
      <c r="I80" s="121">
        <f t="shared" si="27"/>
        <v>49.230722438801934</v>
      </c>
      <c r="J80" s="121">
        <f t="shared" si="27"/>
        <v>58.556406487252154</v>
      </c>
      <c r="K80" s="121">
        <f t="shared" si="27"/>
        <v>72.726048134548307</v>
      </c>
    </row>
    <row r="81" spans="5:11" ht="19" x14ac:dyDescent="0.2">
      <c r="E81" s="119"/>
      <c r="F81" s="120">
        <f>F82-0.01</f>
        <v>0.10350440000000001</v>
      </c>
      <c r="G81" s="121">
        <f t="shared" si="27"/>
        <v>31.087558349907685</v>
      </c>
      <c r="H81" s="121">
        <f t="shared" si="27"/>
        <v>34.596771067341216</v>
      </c>
      <c r="I81" s="121">
        <f t="shared" si="27"/>
        <v>39.130505630797337</v>
      </c>
      <c r="J81" s="121">
        <f t="shared" si="27"/>
        <v>45.214118344770725</v>
      </c>
      <c r="K81" s="121">
        <f t="shared" si="27"/>
        <v>53.806209759222178</v>
      </c>
    </row>
    <row r="82" spans="5:11" ht="19" x14ac:dyDescent="0.2">
      <c r="E82" s="119"/>
      <c r="F82" s="122">
        <f>$C$52</f>
        <v>0.11350440000000001</v>
      </c>
      <c r="G82" s="121">
        <f t="shared" si="27"/>
        <v>25.940418789186584</v>
      </c>
      <c r="H82" s="121">
        <f t="shared" si="27"/>
        <v>28.51903820485855</v>
      </c>
      <c r="I82" s="121">
        <f t="shared" si="27"/>
        <v>31.754593898158774</v>
      </c>
      <c r="J82" s="121">
        <f t="shared" si="27"/>
        <v>35.934776708344984</v>
      </c>
      <c r="K82" s="121">
        <f t="shared" si="27"/>
        <v>41.543974365341413</v>
      </c>
    </row>
    <row r="83" spans="5:11" ht="19" x14ac:dyDescent="0.2">
      <c r="E83" s="119"/>
      <c r="F83" s="122">
        <f>F82+0.01</f>
        <v>0.1235044</v>
      </c>
      <c r="G83" s="121">
        <f t="shared" si="27"/>
        <v>21.849883786895525</v>
      </c>
      <c r="H83" s="121">
        <f t="shared" si="27"/>
        <v>23.79058733468927</v>
      </c>
      <c r="I83" s="121">
        <f t="shared" si="27"/>
        <v>26.169846151552967</v>
      </c>
      <c r="J83" s="121">
        <f t="shared" si="27"/>
        <v>29.155251583603501</v>
      </c>
      <c r="K83" s="121">
        <f t="shared" si="27"/>
        <v>33.012252251011347</v>
      </c>
    </row>
    <row r="84" spans="5:11" ht="19" x14ac:dyDescent="0.2">
      <c r="E84" s="119"/>
      <c r="F84" s="122">
        <f>F83+0.01</f>
        <v>0.1335044</v>
      </c>
      <c r="G84" s="121">
        <f t="shared" si="27"/>
        <v>18.541312837538552</v>
      </c>
      <c r="H84" s="121">
        <f t="shared" si="27"/>
        <v>20.03082639244171</v>
      </c>
      <c r="I84" s="121">
        <f t="shared" si="27"/>
        <v>21.822765738457381</v>
      </c>
      <c r="J84" s="121">
        <f t="shared" si="27"/>
        <v>24.019642996264039</v>
      </c>
      <c r="K84" s="121">
        <f t="shared" si="27"/>
        <v>26.77620283436087</v>
      </c>
    </row>
    <row r="97" spans="3:9" ht="15" customHeight="1" x14ac:dyDescent="0.25">
      <c r="D97" s="36"/>
      <c r="E97" s="65"/>
      <c r="F97" s="65"/>
      <c r="G97" s="65"/>
      <c r="H97" s="65"/>
    </row>
    <row r="98" spans="3:9" x14ac:dyDescent="0.2">
      <c r="D98" s="36"/>
      <c r="E98" s="66"/>
      <c r="F98" s="67"/>
      <c r="G98" s="66"/>
      <c r="H98" s="67"/>
    </row>
    <row r="99" spans="3:9" ht="16" customHeight="1" x14ac:dyDescent="0.2">
      <c r="D99" s="36"/>
      <c r="E99" s="68"/>
      <c r="F99" s="68"/>
      <c r="G99" s="68"/>
      <c r="H99" s="68"/>
    </row>
    <row r="100" spans="3:9" ht="16" customHeight="1" x14ac:dyDescent="0.2">
      <c r="D100" s="36"/>
      <c r="E100" s="69"/>
      <c r="F100" s="69"/>
      <c r="G100" s="69"/>
      <c r="H100" s="69"/>
      <c r="I100" s="69"/>
    </row>
    <row r="101" spans="3:9" ht="16" customHeight="1" x14ac:dyDescent="0.2">
      <c r="D101" s="40"/>
      <c r="E101" s="68"/>
      <c r="F101" s="68"/>
      <c r="G101" s="68"/>
      <c r="H101" s="68"/>
    </row>
    <row r="102" spans="3:9" ht="16" customHeight="1" x14ac:dyDescent="0.2">
      <c r="C102" s="40"/>
      <c r="D102" s="40"/>
      <c r="E102" s="68"/>
      <c r="F102" s="68"/>
      <c r="G102" s="68"/>
      <c r="H102" s="68"/>
    </row>
    <row r="103" spans="3:9" ht="16" customHeight="1" x14ac:dyDescent="0.2">
      <c r="D103" s="40"/>
      <c r="E103" s="68"/>
      <c r="F103" s="68"/>
      <c r="G103" s="68"/>
      <c r="H103" s="68"/>
    </row>
    <row r="104" spans="3:9" x14ac:dyDescent="0.2">
      <c r="D104" s="40"/>
    </row>
    <row r="105" spans="3:9" x14ac:dyDescent="0.2">
      <c r="D105" s="40"/>
    </row>
    <row r="106" spans="3:9" x14ac:dyDescent="0.2">
      <c r="D106" s="70"/>
    </row>
    <row r="107" spans="3:9" x14ac:dyDescent="0.2">
      <c r="D107" s="49"/>
    </row>
    <row r="108" spans="3:9" ht="20" x14ac:dyDescent="0.2">
      <c r="D108" s="49"/>
      <c r="G108" s="71"/>
    </row>
    <row r="109" spans="3:9" ht="20" x14ac:dyDescent="0.2">
      <c r="G109" s="71"/>
    </row>
  </sheetData>
  <mergeCells count="5">
    <mergeCell ref="G78:K78"/>
    <mergeCell ref="E80:E84"/>
    <mergeCell ref="B55:C55"/>
    <mergeCell ref="J44:M44"/>
    <mergeCell ref="B64:C64"/>
  </mergeCells>
  <conditionalFormatting sqref="C33:M33">
    <cfRule type="cellIs" dxfId="3" priority="6" operator="greaterThan">
      <formula>0</formula>
    </cfRule>
    <cfRule type="cellIs" dxfId="2" priority="7" operator="lessThan">
      <formula>0</formula>
    </cfRule>
  </conditionalFormatting>
  <conditionalFormatting sqref="G80:K8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">
    <cfRule type="containsText" dxfId="1" priority="4" operator="containsText" text="BUY">
      <formula>NOT(ISERROR(SEARCH("BUY",K7)))</formula>
    </cfRule>
    <cfRule type="containsText" dxfId="0" priority="5" operator="containsText" text="SELL">
      <formula>NOT(ISERROR(SEARCH("SELL",K7)))</formula>
    </cfRule>
  </conditionalFormatting>
  <pageMargins left="0.7" right="0.7" top="0.75" bottom="0.75" header="0.3" footer="0.3"/>
  <pageSetup paperSize="9" orientation="portrait" horizontalDpi="0" verticalDpi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E3EA7-D698-D94E-8D70-17C5832AE7C3}">
  <sheetPr>
    <tabColor theme="9" tint="0.79998168889431442"/>
  </sheetPr>
  <dimension ref="B3:M56"/>
  <sheetViews>
    <sheetView showGridLines="0" topLeftCell="A29" zoomScale="125" zoomScaleNormal="80" workbookViewId="0">
      <selection activeCell="D75" sqref="D75"/>
    </sheetView>
  </sheetViews>
  <sheetFormatPr baseColWidth="10" defaultColWidth="10.6640625" defaultRowHeight="16" x14ac:dyDescent="0.2"/>
  <cols>
    <col min="1" max="1" width="3.83203125" style="28" customWidth="1"/>
    <col min="2" max="2" width="35.83203125" style="28" bestFit="1" customWidth="1"/>
    <col min="3" max="3" width="11.5" style="28" customWidth="1"/>
    <col min="4" max="8" width="18.6640625" style="28" customWidth="1"/>
    <col min="9" max="9" width="24" style="28" customWidth="1"/>
    <col min="10" max="10" width="10.6640625" style="28" bestFit="1" customWidth="1"/>
    <col min="11" max="11" width="11.5" style="28" bestFit="1" customWidth="1"/>
    <col min="12" max="12" width="11.1640625" style="28" bestFit="1" customWidth="1"/>
    <col min="13" max="13" width="18.83203125" style="28" bestFit="1" customWidth="1"/>
    <col min="14" max="14" width="10" style="28" bestFit="1" customWidth="1"/>
    <col min="15" max="15" width="20.33203125" style="28" bestFit="1" customWidth="1"/>
    <col min="16" max="16384" width="10.6640625" style="28"/>
  </cols>
  <sheetData>
    <row r="3" spans="2:6" x14ac:dyDescent="0.2">
      <c r="C3" s="28" t="s">
        <v>166</v>
      </c>
    </row>
    <row r="4" spans="2:6" x14ac:dyDescent="0.2">
      <c r="B4" s="88"/>
      <c r="C4" s="28" t="s">
        <v>167</v>
      </c>
      <c r="D4" s="88"/>
      <c r="E4" s="88"/>
      <c r="F4" s="88"/>
    </row>
    <row r="6" spans="2:6" x14ac:dyDescent="0.2">
      <c r="B6" s="33"/>
      <c r="C6" s="89" t="s">
        <v>104</v>
      </c>
      <c r="D6" s="89" t="s">
        <v>118</v>
      </c>
      <c r="E6" s="89" t="s">
        <v>105</v>
      </c>
      <c r="F6" s="89" t="s">
        <v>106</v>
      </c>
    </row>
    <row r="7" spans="2:6" x14ac:dyDescent="0.2">
      <c r="B7" s="28" t="s">
        <v>107</v>
      </c>
      <c r="C7" s="36">
        <v>17321</v>
      </c>
      <c r="D7" s="36">
        <v>394290</v>
      </c>
      <c r="E7" s="36">
        <v>5937000</v>
      </c>
      <c r="F7" s="36">
        <v>9084</v>
      </c>
    </row>
    <row r="8" spans="2:6" x14ac:dyDescent="0.2">
      <c r="B8" s="28" t="s">
        <v>108</v>
      </c>
      <c r="C8" s="36">
        <v>30521</v>
      </c>
      <c r="D8" s="36">
        <v>413584</v>
      </c>
      <c r="E8" s="36">
        <v>3899000</v>
      </c>
      <c r="F8" s="36">
        <v>6745</v>
      </c>
    </row>
    <row r="9" spans="2:6" x14ac:dyDescent="0.2">
      <c r="B9" s="28" t="s">
        <v>109</v>
      </c>
      <c r="C9" s="36">
        <v>-13200</v>
      </c>
      <c r="D9" s="36">
        <v>-19294</v>
      </c>
      <c r="E9" s="36">
        <v>2038000</v>
      </c>
      <c r="F9" s="36">
        <v>2339</v>
      </c>
    </row>
    <row r="10" spans="2:6" x14ac:dyDescent="0.2">
      <c r="B10" s="28" t="s">
        <v>26</v>
      </c>
      <c r="C10" s="36">
        <v>-129</v>
      </c>
      <c r="D10" s="36" t="s">
        <v>58</v>
      </c>
      <c r="E10" s="36" t="s">
        <v>58</v>
      </c>
      <c r="F10" s="36" t="s">
        <v>58</v>
      </c>
    </row>
    <row r="11" spans="2:6" ht="17" thickBot="1" x14ac:dyDescent="0.25">
      <c r="B11" s="81" t="s">
        <v>110</v>
      </c>
      <c r="C11" s="82">
        <v>-12778</v>
      </c>
      <c r="D11" s="82">
        <v>-33647</v>
      </c>
      <c r="E11" s="82">
        <v>1453000</v>
      </c>
      <c r="F11" s="82">
        <v>1509</v>
      </c>
    </row>
    <row r="12" spans="2:6" ht="17" thickTop="1" x14ac:dyDescent="0.2"/>
    <row r="13" spans="2:6" x14ac:dyDescent="0.2">
      <c r="B13" s="28" t="s">
        <v>111</v>
      </c>
      <c r="C13" s="59">
        <f>C11/C14</f>
        <v>-0.336254309097129</v>
      </c>
      <c r="D13" s="59">
        <f>D11/D14</f>
        <v>-0.99002530453716231</v>
      </c>
      <c r="E13" s="59">
        <f t="shared" ref="E13:F13" si="0">E11/E14</f>
        <v>2.3173843700159491</v>
      </c>
      <c r="F13" s="59">
        <f t="shared" si="0"/>
        <v>0.39836325237592396</v>
      </c>
    </row>
    <row r="14" spans="2:6" x14ac:dyDescent="0.2">
      <c r="B14" s="28" t="s">
        <v>112</v>
      </c>
      <c r="C14" s="28">
        <v>38001</v>
      </c>
      <c r="D14" s="28">
        <v>33986</v>
      </c>
      <c r="E14" s="28">
        <v>627000</v>
      </c>
      <c r="F14" s="28">
        <v>3788</v>
      </c>
    </row>
    <row r="16" spans="2:6" x14ac:dyDescent="0.2">
      <c r="B16" s="28" t="s">
        <v>113</v>
      </c>
      <c r="C16" s="36">
        <v>7618</v>
      </c>
      <c r="D16" s="36">
        <v>57751</v>
      </c>
      <c r="E16" s="36">
        <v>495000</v>
      </c>
      <c r="F16" s="36">
        <v>824609</v>
      </c>
    </row>
    <row r="17" spans="2:13" x14ac:dyDescent="0.2">
      <c r="B17" s="28" t="s">
        <v>114</v>
      </c>
      <c r="C17" s="36">
        <v>918</v>
      </c>
      <c r="D17" s="36">
        <v>11136</v>
      </c>
      <c r="E17" s="36">
        <v>269000</v>
      </c>
      <c r="F17" s="36">
        <v>161303</v>
      </c>
      <c r="J17" s="83"/>
      <c r="K17" s="83"/>
      <c r="L17" s="83"/>
      <c r="M17" s="83"/>
    </row>
    <row r="18" spans="2:13" x14ac:dyDescent="0.2">
      <c r="C18" s="36"/>
      <c r="D18" s="36"/>
      <c r="E18" s="36"/>
      <c r="F18" s="36"/>
      <c r="J18" s="36"/>
      <c r="K18" s="36"/>
      <c r="L18" s="36"/>
      <c r="M18" s="36"/>
    </row>
    <row r="19" spans="2:13" x14ac:dyDescent="0.2">
      <c r="B19" s="28" t="s">
        <v>115</v>
      </c>
      <c r="C19" s="36">
        <v>34519</v>
      </c>
      <c r="D19" s="36">
        <v>132856</v>
      </c>
      <c r="E19" s="36">
        <v>5620000</v>
      </c>
      <c r="F19" s="36">
        <v>37372</v>
      </c>
      <c r="J19" s="84"/>
      <c r="K19" s="84"/>
      <c r="L19" s="84"/>
      <c r="M19" s="84"/>
    </row>
    <row r="20" spans="2:13" x14ac:dyDescent="0.2">
      <c r="B20" s="28" t="s">
        <v>102</v>
      </c>
      <c r="C20" s="36">
        <v>25436</v>
      </c>
      <c r="D20" s="36">
        <v>64050</v>
      </c>
      <c r="E20" s="36">
        <v>4750000</v>
      </c>
      <c r="F20" s="36">
        <v>34556</v>
      </c>
    </row>
    <row r="21" spans="2:13" x14ac:dyDescent="0.2">
      <c r="B21" s="28" t="s">
        <v>38</v>
      </c>
      <c r="C21" s="36">
        <v>42531</v>
      </c>
      <c r="D21" s="36">
        <v>406464</v>
      </c>
      <c r="E21" s="36">
        <v>7210000</v>
      </c>
      <c r="F21" s="36">
        <v>39963</v>
      </c>
    </row>
    <row r="22" spans="2:13" x14ac:dyDescent="0.2">
      <c r="B22" s="28" t="s">
        <v>116</v>
      </c>
      <c r="C22" s="36">
        <v>23820</v>
      </c>
      <c r="D22" s="36">
        <v>133312</v>
      </c>
      <c r="E22" s="36">
        <v>1347000</v>
      </c>
      <c r="F22" s="36">
        <v>2718</v>
      </c>
    </row>
    <row r="23" spans="2:13" x14ac:dyDescent="0.2">
      <c r="B23" s="28" t="s">
        <v>47</v>
      </c>
      <c r="C23" s="36">
        <v>26057</v>
      </c>
      <c r="D23" s="36">
        <v>188520</v>
      </c>
      <c r="E23" s="36">
        <v>1877000</v>
      </c>
      <c r="F23" s="36">
        <v>4368</v>
      </c>
    </row>
    <row r="24" spans="2:13" ht="17" thickBot="1" x14ac:dyDescent="0.25">
      <c r="B24" s="81" t="s">
        <v>119</v>
      </c>
      <c r="C24" s="82">
        <v>16475</v>
      </c>
      <c r="D24" s="82">
        <v>217944</v>
      </c>
      <c r="E24" s="82">
        <v>5333000</v>
      </c>
      <c r="F24" s="82">
        <v>35595</v>
      </c>
    </row>
    <row r="25" spans="2:13" ht="17" thickTop="1" x14ac:dyDescent="0.2">
      <c r="C25" s="36"/>
      <c r="D25" s="36"/>
      <c r="E25" s="36"/>
      <c r="F25" s="36"/>
    </row>
    <row r="26" spans="2:13" x14ac:dyDescent="0.2">
      <c r="B26" s="28" t="s">
        <v>121</v>
      </c>
      <c r="C26" s="85">
        <v>31.52</v>
      </c>
      <c r="D26" s="85">
        <v>22</v>
      </c>
      <c r="E26" s="85">
        <v>90.38</v>
      </c>
      <c r="F26" s="85">
        <v>14.31</v>
      </c>
    </row>
    <row r="27" spans="2:13" x14ac:dyDescent="0.2">
      <c r="B27" s="28" t="s">
        <v>122</v>
      </c>
      <c r="C27" s="36">
        <f>C26*C14</f>
        <v>1197791.52</v>
      </c>
      <c r="D27" s="36">
        <f>D26*D14</f>
        <v>747692</v>
      </c>
      <c r="E27" s="36">
        <f t="shared" ref="E27:F27" si="1">E26*E14</f>
        <v>56668260</v>
      </c>
      <c r="F27" s="36">
        <f t="shared" si="1"/>
        <v>54206.28</v>
      </c>
    </row>
    <row r="28" spans="2:13" ht="17" thickBot="1" x14ac:dyDescent="0.25">
      <c r="B28" s="81" t="s">
        <v>72</v>
      </c>
      <c r="C28" s="82">
        <f>C27+C23-C20</f>
        <v>1198412.52</v>
      </c>
      <c r="D28" s="82">
        <f>D27+D23-D20</f>
        <v>872162</v>
      </c>
      <c r="E28" s="82">
        <f t="shared" ref="E28:F28" si="2">E27+E23-E20</f>
        <v>53795260</v>
      </c>
      <c r="F28" s="82">
        <f t="shared" si="2"/>
        <v>24018.28</v>
      </c>
    </row>
    <row r="29" spans="2:13" ht="17" thickTop="1" x14ac:dyDescent="0.2"/>
    <row r="30" spans="2:13" x14ac:dyDescent="0.2">
      <c r="B30" s="88" t="s">
        <v>120</v>
      </c>
      <c r="C30" s="87" t="s">
        <v>104</v>
      </c>
      <c r="D30" s="87" t="s">
        <v>118</v>
      </c>
      <c r="E30" s="87" t="s">
        <v>105</v>
      </c>
      <c r="F30" s="87" t="s">
        <v>106</v>
      </c>
      <c r="G30" s="89" t="s">
        <v>148</v>
      </c>
    </row>
    <row r="31" spans="2:13" x14ac:dyDescent="0.2">
      <c r="B31" s="43" t="s">
        <v>117</v>
      </c>
      <c r="C31" s="86">
        <f>C19/C22</f>
        <v>1.4491603694374475</v>
      </c>
      <c r="D31" s="86">
        <f t="shared" ref="D31:F31" si="3">D19/D22</f>
        <v>0.99657945271243398</v>
      </c>
      <c r="E31" s="86">
        <f t="shared" si="3"/>
        <v>4.1722345953971791</v>
      </c>
      <c r="F31" s="86">
        <f t="shared" si="3"/>
        <v>13.74981604120677</v>
      </c>
      <c r="G31" s="90">
        <f>AVERAGE(D31:F31)</f>
        <v>6.306210029772128</v>
      </c>
    </row>
    <row r="32" spans="2:13" x14ac:dyDescent="0.2">
      <c r="B32" s="29" t="s">
        <v>124</v>
      </c>
      <c r="C32" s="59">
        <f>C7/C21</f>
        <v>0.4072558839434765</v>
      </c>
      <c r="D32" s="59">
        <f t="shared" ref="D32:F32" si="4">D7/D21</f>
        <v>0.97004900803023142</v>
      </c>
      <c r="E32" s="59">
        <f t="shared" si="4"/>
        <v>0.82343966712898753</v>
      </c>
      <c r="F32" s="59">
        <f t="shared" si="4"/>
        <v>0.22731026199234292</v>
      </c>
      <c r="G32" s="41">
        <f t="shared" ref="G32:G36" si="5">AVERAGE(D32:F32)</f>
        <v>0.67359964571718722</v>
      </c>
    </row>
    <row r="33" spans="2:9" x14ac:dyDescent="0.2">
      <c r="B33" s="29" t="s">
        <v>126</v>
      </c>
      <c r="C33" s="59">
        <f>C23/C24</f>
        <v>1.5816084977238241</v>
      </c>
      <c r="D33" s="59">
        <f t="shared" ref="D33:F33" si="6">D23/D24</f>
        <v>0.86499284219799577</v>
      </c>
      <c r="E33" s="59">
        <f t="shared" si="6"/>
        <v>0.35195949746859179</v>
      </c>
      <c r="F33" s="59">
        <f t="shared" si="6"/>
        <v>0.12271386430678466</v>
      </c>
      <c r="G33" s="41">
        <f t="shared" si="5"/>
        <v>0.44655540132445742</v>
      </c>
    </row>
    <row r="34" spans="2:9" x14ac:dyDescent="0.2">
      <c r="B34" s="29" t="s">
        <v>125</v>
      </c>
      <c r="C34" s="91">
        <f>C11/C24</f>
        <v>-0.77559939301972691</v>
      </c>
      <c r="D34" s="91">
        <f t="shared" ref="D34:F34" si="7">D11/D24</f>
        <v>-0.15438369489410123</v>
      </c>
      <c r="E34" s="59">
        <f t="shared" si="7"/>
        <v>0.27245452840802548</v>
      </c>
      <c r="F34" s="59">
        <f t="shared" si="7"/>
        <v>4.2393594605983985E-2</v>
      </c>
      <c r="G34" s="41">
        <f t="shared" si="5"/>
        <v>5.3488142706636078E-2</v>
      </c>
    </row>
    <row r="35" spans="2:9" x14ac:dyDescent="0.2">
      <c r="B35" s="29" t="s">
        <v>127</v>
      </c>
      <c r="C35" s="59">
        <f>C16/C7</f>
        <v>0.43981294382541425</v>
      </c>
      <c r="D35" s="59">
        <f t="shared" ref="D35:F35" si="8">D16/D7</f>
        <v>0.14646833548910701</v>
      </c>
      <c r="E35" s="59">
        <f t="shared" si="8"/>
        <v>8.3375442142496203E-2</v>
      </c>
      <c r="F35" s="59">
        <f t="shared" si="8"/>
        <v>90.775979744605905</v>
      </c>
      <c r="G35" s="41">
        <f t="shared" si="5"/>
        <v>30.335274507412503</v>
      </c>
    </row>
    <row r="36" spans="2:9" x14ac:dyDescent="0.2">
      <c r="B36" s="32" t="s">
        <v>128</v>
      </c>
      <c r="C36" s="92">
        <f>C11/C7</f>
        <v>-0.73771722186940702</v>
      </c>
      <c r="D36" s="92">
        <f t="shared" ref="D36:F36" si="9">D11/D7</f>
        <v>-8.5335666641304625E-2</v>
      </c>
      <c r="E36" s="93">
        <f t="shared" si="9"/>
        <v>0.24473639885464038</v>
      </c>
      <c r="F36" s="93">
        <f t="shared" si="9"/>
        <v>0.16611624834874505</v>
      </c>
      <c r="G36" s="94">
        <f t="shared" si="5"/>
        <v>0.10850566018736026</v>
      </c>
    </row>
    <row r="37" spans="2:9" x14ac:dyDescent="0.2">
      <c r="C37" s="59"/>
      <c r="D37" s="59"/>
      <c r="E37" s="59"/>
      <c r="F37" s="59"/>
      <c r="G37" s="59"/>
      <c r="H37" s="59"/>
      <c r="I37" s="59"/>
    </row>
    <row r="38" spans="2:9" x14ac:dyDescent="0.2">
      <c r="B38" s="110" t="s">
        <v>174</v>
      </c>
      <c r="C38" s="110"/>
      <c r="D38" s="110"/>
      <c r="E38" s="110"/>
      <c r="F38" s="110"/>
      <c r="G38" s="110"/>
      <c r="H38" s="110"/>
      <c r="I38" s="110"/>
    </row>
    <row r="39" spans="2:9" x14ac:dyDescent="0.2">
      <c r="C39" s="59"/>
      <c r="D39" s="59"/>
      <c r="E39" s="59"/>
      <c r="F39" s="59"/>
      <c r="G39" s="59"/>
      <c r="H39" s="59"/>
      <c r="I39" s="59"/>
    </row>
    <row r="40" spans="2:9" x14ac:dyDescent="0.2">
      <c r="B40" s="72" t="s">
        <v>136</v>
      </c>
      <c r="C40" s="89" t="s">
        <v>137</v>
      </c>
      <c r="D40" s="89" t="s">
        <v>160</v>
      </c>
      <c r="E40" s="89" t="s">
        <v>165</v>
      </c>
      <c r="F40" s="89" t="s">
        <v>164</v>
      </c>
      <c r="G40" s="89" t="s">
        <v>162</v>
      </c>
      <c r="H40" s="87" t="s">
        <v>138</v>
      </c>
      <c r="I40" s="89" t="s">
        <v>139</v>
      </c>
    </row>
    <row r="41" spans="2:9" x14ac:dyDescent="0.2">
      <c r="B41" s="43" t="s">
        <v>140</v>
      </c>
      <c r="C41" s="35">
        <v>4</v>
      </c>
      <c r="D41" s="35">
        <f>E41-C41</f>
        <v>0.40000000000000036</v>
      </c>
      <c r="E41" s="35">
        <v>4.4000000000000004</v>
      </c>
      <c r="F41" s="95">
        <v>0.1</v>
      </c>
      <c r="G41" s="96" t="str">
        <f>IF(E41&gt;C41,"Underpriced","Overpriced")</f>
        <v>Underpriced</v>
      </c>
      <c r="H41" s="104">
        <v>45230</v>
      </c>
      <c r="I41" s="97" t="s">
        <v>141</v>
      </c>
    </row>
    <row r="42" spans="2:9" x14ac:dyDescent="0.2">
      <c r="B42" s="29" t="s">
        <v>142</v>
      </c>
      <c r="C42" s="28">
        <v>5</v>
      </c>
      <c r="D42" s="28">
        <f t="shared" ref="D42:D44" si="10">E42-C42</f>
        <v>9.9999999999999645E-2</v>
      </c>
      <c r="E42" s="28">
        <v>5.0999999999999996</v>
      </c>
      <c r="F42" s="50">
        <v>0.02</v>
      </c>
      <c r="G42" s="46" t="str">
        <f t="shared" ref="G42:G44" si="11">IF(E42&gt;C42,"Underpriced","Overpriced")</f>
        <v>Underpriced</v>
      </c>
      <c r="H42" s="103">
        <v>45209</v>
      </c>
      <c r="I42" s="30" t="s">
        <v>143</v>
      </c>
    </row>
    <row r="43" spans="2:9" x14ac:dyDescent="0.2">
      <c r="B43" s="29" t="s">
        <v>144</v>
      </c>
      <c r="C43" s="28">
        <v>4</v>
      </c>
      <c r="D43" s="28">
        <f t="shared" si="10"/>
        <v>-0.87999999999999989</v>
      </c>
      <c r="E43" s="59">
        <v>3.12</v>
      </c>
      <c r="F43" s="98">
        <v>-0.28199999999999997</v>
      </c>
      <c r="G43" s="46" t="str">
        <f t="shared" si="11"/>
        <v>Overpriced</v>
      </c>
      <c r="H43" s="103">
        <v>45279</v>
      </c>
      <c r="I43" s="30" t="s">
        <v>145</v>
      </c>
    </row>
    <row r="44" spans="2:9" x14ac:dyDescent="0.2">
      <c r="B44" s="32" t="s">
        <v>146</v>
      </c>
      <c r="C44" s="33">
        <v>30</v>
      </c>
      <c r="D44" s="33">
        <f t="shared" si="10"/>
        <v>2.7000000000000028</v>
      </c>
      <c r="E44" s="99">
        <v>32.700000000000003</v>
      </c>
      <c r="F44" s="100">
        <v>0.09</v>
      </c>
      <c r="G44" s="99" t="str">
        <f t="shared" si="11"/>
        <v>Underpriced</v>
      </c>
      <c r="H44" s="101">
        <v>45189</v>
      </c>
      <c r="I44" s="102" t="s">
        <v>147</v>
      </c>
    </row>
    <row r="45" spans="2:9" x14ac:dyDescent="0.2">
      <c r="C45" s="59"/>
      <c r="D45" s="59"/>
      <c r="E45" s="59"/>
      <c r="F45" s="59"/>
      <c r="G45" s="59"/>
    </row>
    <row r="46" spans="2:9" x14ac:dyDescent="0.2">
      <c r="B46" s="83"/>
      <c r="C46" s="111"/>
      <c r="D46" s="111"/>
      <c r="E46" s="112"/>
      <c r="F46" s="112"/>
      <c r="G46" s="111"/>
      <c r="H46" s="111"/>
    </row>
    <row r="47" spans="2:9" x14ac:dyDescent="0.2">
      <c r="C47" s="59"/>
      <c r="D47" s="59"/>
      <c r="E47" s="59"/>
      <c r="F47" s="59"/>
      <c r="G47" s="59"/>
      <c r="H47" s="59"/>
    </row>
    <row r="48" spans="2:9" x14ac:dyDescent="0.2">
      <c r="C48" s="59"/>
      <c r="D48" s="59"/>
      <c r="E48" s="59"/>
      <c r="F48" s="59"/>
      <c r="G48" s="59"/>
      <c r="H48" s="59"/>
    </row>
    <row r="49" spans="3:8" x14ac:dyDescent="0.2">
      <c r="C49" s="59"/>
      <c r="D49" s="59"/>
      <c r="E49" s="59"/>
      <c r="F49" s="59"/>
      <c r="G49" s="59"/>
      <c r="H49" s="59"/>
    </row>
    <row r="50" spans="3:8" x14ac:dyDescent="0.2">
      <c r="C50" s="59"/>
      <c r="D50" s="59"/>
      <c r="E50" s="59"/>
      <c r="F50" s="59"/>
      <c r="G50" s="59"/>
      <c r="H50" s="59"/>
    </row>
    <row r="51" spans="3:8" x14ac:dyDescent="0.2">
      <c r="C51" s="59"/>
      <c r="D51" s="59"/>
      <c r="E51" s="59"/>
      <c r="F51" s="59"/>
      <c r="G51" s="59"/>
      <c r="H51" s="59"/>
    </row>
    <row r="52" spans="3:8" x14ac:dyDescent="0.2">
      <c r="C52" s="59"/>
      <c r="D52" s="59"/>
      <c r="E52" s="59"/>
      <c r="F52" s="59"/>
      <c r="G52" s="59"/>
      <c r="H52" s="59"/>
    </row>
    <row r="53" spans="3:8" x14ac:dyDescent="0.2">
      <c r="C53" s="59"/>
      <c r="D53" s="59"/>
      <c r="E53" s="59"/>
      <c r="F53" s="59"/>
      <c r="G53" s="59"/>
      <c r="H53" s="59"/>
    </row>
    <row r="54" spans="3:8" x14ac:dyDescent="0.2">
      <c r="C54" s="59"/>
      <c r="D54" s="59"/>
      <c r="E54" s="59"/>
      <c r="F54" s="59"/>
      <c r="G54" s="59"/>
      <c r="H54" s="59"/>
    </row>
    <row r="55" spans="3:8" x14ac:dyDescent="0.2">
      <c r="C55" s="59"/>
      <c r="D55" s="59"/>
      <c r="E55" s="59"/>
      <c r="F55" s="59"/>
      <c r="G55" s="59"/>
      <c r="H55" s="59"/>
    </row>
    <row r="56" spans="3:8" x14ac:dyDescent="0.2">
      <c r="C56" s="59"/>
      <c r="D56" s="59"/>
      <c r="E56" s="59"/>
      <c r="F56" s="59"/>
      <c r="G56" s="59"/>
      <c r="H56" s="59"/>
    </row>
  </sheetData>
  <mergeCells count="4">
    <mergeCell ref="B38:I38"/>
    <mergeCell ref="C46:D46"/>
    <mergeCell ref="E46:F46"/>
    <mergeCell ref="G46:H46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D5698-1E93-4794-89AC-92476B75C53D}">
  <sheetPr>
    <tabColor theme="4" tint="-0.249977111117893"/>
  </sheetPr>
  <dimension ref="A1"/>
  <sheetViews>
    <sheetView showGridLines="0" view="pageBreakPreview" zoomScale="60" zoomScaleNormal="100" workbookViewId="0"/>
  </sheetViews>
  <sheetFormatPr baseColWidth="10" defaultColWidth="8.83203125" defaultRowHeight="16" x14ac:dyDescent="0.2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93C-375E-D348-BE1A-F1963F0D1CA2}">
  <sheetPr>
    <tabColor theme="4" tint="0.79998168889431442"/>
  </sheetPr>
  <dimension ref="B1:J42"/>
  <sheetViews>
    <sheetView showGridLines="0" tabSelected="1" zoomScale="90" workbookViewId="0">
      <selection activeCell="K11" sqref="K11:K13"/>
    </sheetView>
  </sheetViews>
  <sheetFormatPr baseColWidth="10" defaultColWidth="10.6640625" defaultRowHeight="16" x14ac:dyDescent="0.2"/>
  <cols>
    <col min="1" max="1" width="2.33203125" customWidth="1"/>
    <col min="2" max="2" width="43" customWidth="1"/>
    <col min="3" max="3" width="19" style="5" customWidth="1"/>
    <col min="4" max="4" width="16.33203125" style="5" customWidth="1"/>
    <col min="5" max="5" width="16" customWidth="1"/>
    <col min="6" max="6" width="3.5" customWidth="1"/>
    <col min="7" max="7" width="38.33203125" bestFit="1" customWidth="1"/>
    <col min="8" max="8" width="18.1640625" customWidth="1"/>
    <col min="9" max="9" width="12.33203125" bestFit="1" customWidth="1"/>
  </cols>
  <sheetData>
    <row r="1" spans="2:10" x14ac:dyDescent="0.2">
      <c r="C1"/>
      <c r="D1"/>
    </row>
    <row r="2" spans="2:10" ht="34" x14ac:dyDescent="0.2">
      <c r="B2" s="33" t="s">
        <v>6</v>
      </c>
      <c r="C2" s="106" t="s">
        <v>29</v>
      </c>
      <c r="D2" s="106" t="s">
        <v>171</v>
      </c>
      <c r="E2" s="106" t="s">
        <v>170</v>
      </c>
      <c r="F2" s="28"/>
      <c r="G2" s="72" t="s">
        <v>30</v>
      </c>
      <c r="H2" s="72" t="s">
        <v>56</v>
      </c>
      <c r="I2" s="72" t="s">
        <v>57</v>
      </c>
    </row>
    <row r="3" spans="2:10" x14ac:dyDescent="0.2">
      <c r="B3" s="2" t="s">
        <v>2</v>
      </c>
      <c r="C3" s="4">
        <v>378490</v>
      </c>
      <c r="D3" s="4">
        <v>15580258</v>
      </c>
      <c r="E3" s="4">
        <f>D3*2</f>
        <v>31160516</v>
      </c>
      <c r="G3" s="15" t="s">
        <v>31</v>
      </c>
      <c r="H3" s="5">
        <v>3243510</v>
      </c>
      <c r="I3" s="5">
        <v>8868436</v>
      </c>
    </row>
    <row r="4" spans="2:10" x14ac:dyDescent="0.2">
      <c r="B4" s="2" t="s">
        <v>3</v>
      </c>
      <c r="C4" s="4">
        <v>317381</v>
      </c>
      <c r="D4" s="4">
        <v>1045133</v>
      </c>
      <c r="E4" s="4">
        <f>D4*2</f>
        <v>2090266</v>
      </c>
      <c r="G4" s="15" t="s">
        <v>32</v>
      </c>
      <c r="H4" s="9" t="s">
        <v>58</v>
      </c>
      <c r="I4" s="5">
        <v>16567300</v>
      </c>
      <c r="J4" s="5"/>
    </row>
    <row r="5" spans="2:10" x14ac:dyDescent="0.2">
      <c r="B5" s="16" t="s">
        <v>25</v>
      </c>
      <c r="C5" s="8">
        <f>SUM(C3:C4)</f>
        <v>695871</v>
      </c>
      <c r="D5" s="8">
        <f>SUM(D3:D4)</f>
        <v>16625391</v>
      </c>
      <c r="E5" s="8">
        <f>SUM(E3:E4)</f>
        <v>33250782</v>
      </c>
      <c r="F5" s="20"/>
      <c r="G5" s="15" t="s">
        <v>33</v>
      </c>
      <c r="H5" s="5">
        <v>701649</v>
      </c>
      <c r="I5" s="5">
        <v>8277869</v>
      </c>
    </row>
    <row r="6" spans="2:10" x14ac:dyDescent="0.2">
      <c r="C6" s="4"/>
      <c r="D6" s="4"/>
      <c r="G6" s="15" t="s">
        <v>34</v>
      </c>
      <c r="H6" s="5">
        <v>67284</v>
      </c>
      <c r="I6" s="5">
        <v>804971</v>
      </c>
    </row>
    <row r="7" spans="2:10" x14ac:dyDescent="0.2">
      <c r="B7" t="s">
        <v>5</v>
      </c>
      <c r="C7" s="4"/>
      <c r="D7" s="4"/>
      <c r="G7" s="25" t="s">
        <v>35</v>
      </c>
      <c r="H7" s="11">
        <f>SUM(H3:H6)</f>
        <v>4012443</v>
      </c>
      <c r="I7" s="11">
        <f>SUM(I3:I6)</f>
        <v>34518576</v>
      </c>
    </row>
    <row r="8" spans="2:10" x14ac:dyDescent="0.2">
      <c r="B8" s="2" t="s">
        <v>7</v>
      </c>
      <c r="C8" s="4">
        <v>-114777</v>
      </c>
      <c r="D8" s="4">
        <v>-1222045</v>
      </c>
      <c r="E8" s="4">
        <f>D8*2</f>
        <v>-2444090</v>
      </c>
      <c r="H8" s="5"/>
      <c r="I8" s="5"/>
    </row>
    <row r="9" spans="2:10" x14ac:dyDescent="0.2">
      <c r="B9" s="19" t="s">
        <v>88</v>
      </c>
      <c r="C9" s="18">
        <f>(C3+C8)/C3</f>
        <v>0.69675024439219002</v>
      </c>
      <c r="D9" s="18">
        <f t="shared" ref="D9:E9" si="0">(D3+D8)/D3</f>
        <v>0.9215645209469574</v>
      </c>
      <c r="E9" s="18">
        <f t="shared" si="0"/>
        <v>0.9215645209469574</v>
      </c>
      <c r="G9" s="15" t="s">
        <v>36</v>
      </c>
      <c r="H9" s="5">
        <v>2447098</v>
      </c>
      <c r="I9" s="5">
        <v>6761045</v>
      </c>
    </row>
    <row r="10" spans="2:10" x14ac:dyDescent="0.2">
      <c r="B10" s="2" t="s">
        <v>8</v>
      </c>
      <c r="C10" s="4">
        <v>-104313</v>
      </c>
      <c r="D10" s="4">
        <v>-513767</v>
      </c>
      <c r="E10" s="4">
        <f>D10*2</f>
        <v>-1027534</v>
      </c>
      <c r="G10" s="15" t="s">
        <v>37</v>
      </c>
      <c r="H10" s="5">
        <v>699100</v>
      </c>
      <c r="I10" s="5">
        <v>1251582</v>
      </c>
    </row>
    <row r="11" spans="2:10" ht="17" thickBot="1" x14ac:dyDescent="0.25">
      <c r="B11" s="19" t="s">
        <v>89</v>
      </c>
      <c r="C11" s="18">
        <f>(C4+C10)/C4</f>
        <v>0.67133193228328103</v>
      </c>
      <c r="D11" s="18">
        <f t="shared" ref="D11:E11" si="1">(D4+D10)/D4</f>
        <v>0.50841950258962254</v>
      </c>
      <c r="E11" s="18">
        <f t="shared" si="1"/>
        <v>0.50841950258962254</v>
      </c>
      <c r="G11" s="26" t="s">
        <v>38</v>
      </c>
      <c r="H11" s="13">
        <f>SUM(H7:H10)</f>
        <v>7158641</v>
      </c>
      <c r="I11" s="13">
        <f>SUM(I7:I10)</f>
        <v>42531203</v>
      </c>
    </row>
    <row r="12" spans="2:10" ht="17" thickTop="1" x14ac:dyDescent="0.2">
      <c r="B12" s="16" t="s">
        <v>24</v>
      </c>
      <c r="C12" s="8">
        <f>C8+C10</f>
        <v>-219090</v>
      </c>
      <c r="D12" s="8">
        <f t="shared" ref="D12:E12" si="2">D8+D10</f>
        <v>-1735812</v>
      </c>
      <c r="E12" s="8">
        <f t="shared" si="2"/>
        <v>-3471624</v>
      </c>
      <c r="H12" s="5"/>
      <c r="I12" s="5"/>
    </row>
    <row r="13" spans="2:10" x14ac:dyDescent="0.2">
      <c r="C13" s="4"/>
      <c r="D13" s="4"/>
      <c r="G13" s="1" t="s">
        <v>39</v>
      </c>
      <c r="H13" s="5"/>
      <c r="I13" s="5"/>
    </row>
    <row r="14" spans="2:10" x14ac:dyDescent="0.2">
      <c r="B14" s="10" t="s">
        <v>96</v>
      </c>
      <c r="C14" s="8">
        <f>C5+C12</f>
        <v>476781</v>
      </c>
      <c r="D14" s="8">
        <f>D5+D12</f>
        <v>14889579</v>
      </c>
      <c r="E14" s="8">
        <f>E5+E12</f>
        <v>29779158</v>
      </c>
      <c r="G14" s="15" t="s">
        <v>40</v>
      </c>
      <c r="H14" s="5">
        <v>855068</v>
      </c>
      <c r="I14" s="5">
        <v>4607174</v>
      </c>
    </row>
    <row r="15" spans="2:10" x14ac:dyDescent="0.2">
      <c r="B15" s="17" t="s">
        <v>98</v>
      </c>
      <c r="C15" s="18">
        <f>C14/C5</f>
        <v>0.6851571627499925</v>
      </c>
      <c r="D15" s="18">
        <f t="shared" ref="D15:E15" si="3">D14/D5</f>
        <v>0.89559271117292816</v>
      </c>
      <c r="E15" s="18">
        <f t="shared" si="3"/>
        <v>0.89559271117292816</v>
      </c>
      <c r="G15" s="15" t="s">
        <v>41</v>
      </c>
      <c r="H15" s="5">
        <v>527340</v>
      </c>
      <c r="I15" s="5">
        <v>1075066</v>
      </c>
    </row>
    <row r="16" spans="2:10" x14ac:dyDescent="0.2">
      <c r="B16" s="17"/>
      <c r="C16" s="4"/>
      <c r="D16" s="4"/>
      <c r="G16" s="15" t="s">
        <v>42</v>
      </c>
      <c r="H16" s="5">
        <v>667503</v>
      </c>
      <c r="I16" s="5">
        <v>1897819</v>
      </c>
    </row>
    <row r="17" spans="2:9" x14ac:dyDescent="0.2">
      <c r="B17" t="s">
        <v>22</v>
      </c>
      <c r="C17" s="4"/>
      <c r="D17" s="4"/>
      <c r="G17" s="15" t="s">
        <v>18</v>
      </c>
      <c r="H17" s="5">
        <v>2575145</v>
      </c>
      <c r="I17" s="5">
        <v>14963843</v>
      </c>
    </row>
    <row r="18" spans="2:9" x14ac:dyDescent="0.2">
      <c r="B18" s="2" t="s">
        <v>9</v>
      </c>
      <c r="C18" s="4">
        <v>-2031986</v>
      </c>
      <c r="D18" s="4">
        <v>-6115152</v>
      </c>
      <c r="E18" s="4">
        <f>D18*2</f>
        <v>-12230304</v>
      </c>
      <c r="G18" s="15" t="s">
        <v>43</v>
      </c>
      <c r="H18" s="5">
        <v>725000</v>
      </c>
      <c r="I18" s="5">
        <v>725000</v>
      </c>
    </row>
    <row r="19" spans="2:9" x14ac:dyDescent="0.2">
      <c r="B19" s="19" t="s">
        <v>90</v>
      </c>
      <c r="C19" s="18">
        <f>-C18/C5</f>
        <v>2.9200613332068732</v>
      </c>
      <c r="D19" s="18">
        <f t="shared" ref="D19" si="4">-D18/D5</f>
        <v>0.36782004104444821</v>
      </c>
      <c r="E19" s="18">
        <f>-E18/E5</f>
        <v>0.36782004104444821</v>
      </c>
      <c r="G19" s="15" t="s">
        <v>44</v>
      </c>
      <c r="H19" s="9" t="s">
        <v>58</v>
      </c>
      <c r="I19" s="5">
        <v>551449</v>
      </c>
    </row>
    <row r="20" spans="2:9" x14ac:dyDescent="0.2">
      <c r="B20" s="2" t="s">
        <v>10</v>
      </c>
      <c r="C20" s="4">
        <v>-2813689</v>
      </c>
      <c r="D20" s="4">
        <v>-9256066</v>
      </c>
      <c r="E20" s="4">
        <f t="shared" ref="E20:E24" si="5">D20*2</f>
        <v>-18512132</v>
      </c>
      <c r="G20" s="25" t="s">
        <v>45</v>
      </c>
      <c r="H20" s="23">
        <f>SUM(H14:H19)</f>
        <v>5350056</v>
      </c>
      <c r="I20" s="23">
        <f>SUM(I14:I19)</f>
        <v>23820351</v>
      </c>
    </row>
    <row r="21" spans="2:9" x14ac:dyDescent="0.2">
      <c r="B21" s="19" t="s">
        <v>90</v>
      </c>
      <c r="C21" s="18">
        <f>-C20/C5</f>
        <v>4.0434060335895587</v>
      </c>
      <c r="D21" s="18">
        <f t="shared" ref="D21:E21" si="6">-D20/D5</f>
        <v>0.55674275570421172</v>
      </c>
      <c r="E21" s="18">
        <f t="shared" si="6"/>
        <v>0.55674275570421172</v>
      </c>
      <c r="G21" s="15" t="s">
        <v>46</v>
      </c>
      <c r="H21" s="9">
        <v>725000</v>
      </c>
      <c r="I21" s="5">
        <v>725000</v>
      </c>
    </row>
    <row r="22" spans="2:9" x14ac:dyDescent="0.2">
      <c r="B22" s="2" t="s">
        <v>11</v>
      </c>
      <c r="C22" s="4">
        <v>-1669193</v>
      </c>
      <c r="D22" s="4">
        <v>-3693005</v>
      </c>
      <c r="E22" s="4">
        <f t="shared" si="5"/>
        <v>-7386010</v>
      </c>
      <c r="G22" s="15" t="s">
        <v>44</v>
      </c>
      <c r="H22" s="9" t="s">
        <v>58</v>
      </c>
      <c r="I22" s="5">
        <v>1511331</v>
      </c>
    </row>
    <row r="23" spans="2:9" x14ac:dyDescent="0.2">
      <c r="B23" s="19" t="s">
        <v>90</v>
      </c>
      <c r="C23" s="18">
        <f>-C22/C5</f>
        <v>2.3987103931619509</v>
      </c>
      <c r="D23" s="18">
        <f t="shared" ref="D23:E23" si="7">-D22/D5</f>
        <v>0.22213041485761148</v>
      </c>
      <c r="E23" s="18">
        <f t="shared" si="7"/>
        <v>0.22213041485761148</v>
      </c>
      <c r="G23" s="25" t="s">
        <v>47</v>
      </c>
      <c r="H23" s="23">
        <f>SUM(H20:H22)</f>
        <v>6075056</v>
      </c>
      <c r="I23" s="23">
        <f>SUM(I20:I22)</f>
        <v>26056682</v>
      </c>
    </row>
    <row r="24" spans="2:9" x14ac:dyDescent="0.2">
      <c r="B24" s="2" t="s">
        <v>12</v>
      </c>
      <c r="C24" s="4">
        <v>-2486688</v>
      </c>
      <c r="D24" s="4">
        <v>-500000</v>
      </c>
      <c r="E24" s="4">
        <f t="shared" si="5"/>
        <v>-1000000</v>
      </c>
      <c r="G24" s="15" t="s">
        <v>48</v>
      </c>
      <c r="H24" s="9">
        <v>701</v>
      </c>
      <c r="I24" s="5">
        <v>901</v>
      </c>
    </row>
    <row r="25" spans="2:9" x14ac:dyDescent="0.2">
      <c r="B25" s="19" t="s">
        <v>90</v>
      </c>
      <c r="C25" s="18">
        <f>-C24/C5</f>
        <v>3.5734899140789027</v>
      </c>
      <c r="D25" s="18">
        <f t="shared" ref="D25:E25" si="8">-D24/D5</f>
        <v>3.0074480654319648E-2</v>
      </c>
      <c r="E25" s="18">
        <f t="shared" si="8"/>
        <v>3.0074480654319648E-2</v>
      </c>
      <c r="G25" s="15" t="s">
        <v>49</v>
      </c>
      <c r="H25" s="9">
        <v>451</v>
      </c>
      <c r="I25" s="5">
        <v>1514</v>
      </c>
    </row>
    <row r="26" spans="2:9" x14ac:dyDescent="0.2">
      <c r="B26" s="16" t="s">
        <v>23</v>
      </c>
      <c r="C26" s="8">
        <f>C18+C20+C22+C24</f>
        <v>-9001556</v>
      </c>
      <c r="D26" s="8">
        <f>SUM(D18:D24)</f>
        <v>-19564221.853306789</v>
      </c>
      <c r="E26" s="8">
        <f>SUM(E18:E24)</f>
        <v>-39128444.853306785</v>
      </c>
      <c r="G26" s="15" t="s">
        <v>50</v>
      </c>
      <c r="H26" s="9">
        <v>9552278</v>
      </c>
      <c r="I26" s="5">
        <v>39683666</v>
      </c>
    </row>
    <row r="27" spans="2:9" x14ac:dyDescent="0.2">
      <c r="B27" s="19" t="s">
        <v>90</v>
      </c>
      <c r="C27" s="21">
        <f>-C26/C5</f>
        <v>12.935667674037285</v>
      </c>
      <c r="D27" s="21">
        <f t="shared" ref="D27:E27" si="9">-D26/D5</f>
        <v>1.1767676232881854</v>
      </c>
      <c r="E27" s="21">
        <f t="shared" si="9"/>
        <v>1.1767676577743882</v>
      </c>
      <c r="G27" s="15" t="s">
        <v>51</v>
      </c>
      <c r="H27" s="9" t="s">
        <v>58</v>
      </c>
      <c r="I27" s="5">
        <v>-638065</v>
      </c>
    </row>
    <row r="28" spans="2:9" x14ac:dyDescent="0.2">
      <c r="C28" s="4"/>
      <c r="D28" s="4"/>
      <c r="G28" s="15" t="s">
        <v>17</v>
      </c>
      <c r="H28" s="9" t="s">
        <v>58</v>
      </c>
      <c r="I28" s="5">
        <v>-9812151</v>
      </c>
    </row>
    <row r="29" spans="2:9" x14ac:dyDescent="0.2">
      <c r="B29" s="10" t="s">
        <v>94</v>
      </c>
      <c r="C29" s="8">
        <f>C14+C26</f>
        <v>-8524775</v>
      </c>
      <c r="D29" s="8">
        <f t="shared" ref="D29:E29" si="10">D14+D26</f>
        <v>-4674642.853306789</v>
      </c>
      <c r="E29" s="8">
        <f t="shared" si="10"/>
        <v>-9349286.8533067852</v>
      </c>
      <c r="G29" s="15" t="s">
        <v>52</v>
      </c>
      <c r="H29" s="9">
        <v>-8469845</v>
      </c>
      <c r="I29" s="5">
        <v>-12777561</v>
      </c>
    </row>
    <row r="30" spans="2:9" x14ac:dyDescent="0.2">
      <c r="B30" s="19" t="s">
        <v>99</v>
      </c>
      <c r="C30" s="18">
        <f>C29/C5</f>
        <v>-12.250510511287294</v>
      </c>
      <c r="D30" s="18">
        <f t="shared" ref="D30:E30" si="11">D29/D5</f>
        <v>-0.28117491211525725</v>
      </c>
      <c r="E30" s="18">
        <f t="shared" si="11"/>
        <v>-0.28117494660145992</v>
      </c>
      <c r="G30" s="15" t="s">
        <v>53</v>
      </c>
      <c r="H30" s="9" t="s">
        <v>58</v>
      </c>
      <c r="I30" s="5">
        <v>16217</v>
      </c>
    </row>
    <row r="31" spans="2:9" x14ac:dyDescent="0.2">
      <c r="B31" s="15" t="s">
        <v>13</v>
      </c>
      <c r="C31" s="4">
        <v>55238</v>
      </c>
      <c r="D31" s="4">
        <v>495583</v>
      </c>
      <c r="E31" s="4">
        <f>D31*2</f>
        <v>991166</v>
      </c>
      <c r="G31" s="25" t="s">
        <v>54</v>
      </c>
      <c r="H31" s="23">
        <f>SUM(H24:H30)</f>
        <v>1083585</v>
      </c>
      <c r="I31" s="23">
        <f>SUM(I24:I30)</f>
        <v>16474521</v>
      </c>
    </row>
    <row r="32" spans="2:9" ht="17" thickBot="1" x14ac:dyDescent="0.25">
      <c r="B32" s="15" t="s">
        <v>26</v>
      </c>
      <c r="C32" s="4">
        <v>-308</v>
      </c>
      <c r="D32" s="4">
        <v>-128655</v>
      </c>
      <c r="E32" s="4">
        <f>D32*2</f>
        <v>-257310</v>
      </c>
      <c r="G32" s="26" t="s">
        <v>55</v>
      </c>
      <c r="H32" s="24">
        <f>H23+H31</f>
        <v>7158641</v>
      </c>
      <c r="I32" s="24">
        <f>I23+I31</f>
        <v>42531203</v>
      </c>
    </row>
    <row r="33" spans="2:5" ht="17" thickTop="1" x14ac:dyDescent="0.2">
      <c r="B33" s="15" t="s">
        <v>91</v>
      </c>
      <c r="C33" s="4">
        <f>C31+C32</f>
        <v>54930</v>
      </c>
      <c r="D33" s="4">
        <f t="shared" ref="D33" si="12">D31+D32</f>
        <v>366928</v>
      </c>
      <c r="E33" s="4">
        <f>E31+E32</f>
        <v>733856</v>
      </c>
    </row>
    <row r="34" spans="2:5" x14ac:dyDescent="0.2">
      <c r="B34" s="10" t="s">
        <v>92</v>
      </c>
      <c r="C34" s="8">
        <f>C29+C33</f>
        <v>-8469845</v>
      </c>
      <c r="D34" s="8">
        <f t="shared" ref="D34:E34" si="13">D29+D33</f>
        <v>-4307714.853306789</v>
      </c>
      <c r="E34" s="8">
        <f t="shared" si="13"/>
        <v>-8615430.8533067852</v>
      </c>
    </row>
    <row r="35" spans="2:5" x14ac:dyDescent="0.2">
      <c r="B35" s="15" t="s">
        <v>97</v>
      </c>
      <c r="C35" s="4">
        <v>0</v>
      </c>
      <c r="D35" s="4">
        <v>0</v>
      </c>
      <c r="E35" s="4">
        <v>0</v>
      </c>
    </row>
    <row r="36" spans="2:5" ht="17" thickBot="1" x14ac:dyDescent="0.25">
      <c r="B36" s="12" t="s">
        <v>93</v>
      </c>
      <c r="C36" s="22">
        <f>C34+C35</f>
        <v>-8469845</v>
      </c>
      <c r="D36" s="22">
        <f t="shared" ref="D36:E36" si="14">D34+D35</f>
        <v>-4307714.853306789</v>
      </c>
      <c r="E36" s="22">
        <f t="shared" si="14"/>
        <v>-8615430.8533067852</v>
      </c>
    </row>
    <row r="37" spans="2:5" ht="17" thickTop="1" x14ac:dyDescent="0.2">
      <c r="B37" s="19" t="s">
        <v>100</v>
      </c>
      <c r="C37" s="18">
        <f>C36/C5</f>
        <v>-12.171573466921311</v>
      </c>
      <c r="D37" s="18">
        <f t="shared" ref="D37:E37" si="15">D36/D5</f>
        <v>-0.25910457404020087</v>
      </c>
      <c r="E37" s="18">
        <f t="shared" si="15"/>
        <v>-0.25910460852640355</v>
      </c>
    </row>
    <row r="38" spans="2:5" x14ac:dyDescent="0.2">
      <c r="C38" s="4"/>
      <c r="D38" s="4"/>
    </row>
    <row r="39" spans="2:5" x14ac:dyDescent="0.2">
      <c r="B39" t="s">
        <v>27</v>
      </c>
      <c r="C39" s="6">
        <v>-0.26</v>
      </c>
      <c r="D39" s="6">
        <v>-0.13</v>
      </c>
      <c r="E39" s="3">
        <f>E36/E40</f>
        <v>-0.26106772095298031</v>
      </c>
    </row>
    <row r="40" spans="2:5" ht="17" customHeight="1" x14ac:dyDescent="0.2">
      <c r="B40" t="s">
        <v>28</v>
      </c>
      <c r="C40" s="4">
        <v>32256307</v>
      </c>
      <c r="D40" s="4">
        <v>33000751</v>
      </c>
      <c r="E40" s="4">
        <v>33000751</v>
      </c>
    </row>
    <row r="42" spans="2:5" x14ac:dyDescent="0.2">
      <c r="C42" s="4"/>
      <c r="D42" s="4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8A3D-6642-AB47-B33A-E43643074CDF}">
  <sheetPr>
    <tabColor theme="4" tint="0.79998168889431442"/>
  </sheetPr>
  <dimension ref="B2:M44"/>
  <sheetViews>
    <sheetView showGridLines="0" topLeftCell="A2" zoomScale="91" zoomScaleNormal="72" workbookViewId="0">
      <selection activeCell="B45" sqref="B45"/>
    </sheetView>
  </sheetViews>
  <sheetFormatPr baseColWidth="10" defaultColWidth="10.6640625" defaultRowHeight="16" x14ac:dyDescent="0.2"/>
  <cols>
    <col min="1" max="1" width="2.1640625" customWidth="1"/>
    <col min="2" max="2" width="25.83203125" bestFit="1" customWidth="1"/>
    <col min="3" max="5" width="13.5" bestFit="1" customWidth="1"/>
    <col min="6" max="8" width="14.6640625" bestFit="1" customWidth="1"/>
    <col min="9" max="9" width="13.5" bestFit="1" customWidth="1"/>
    <col min="10" max="13" width="14" bestFit="1" customWidth="1"/>
    <col min="14" max="14" width="12" bestFit="1" customWidth="1"/>
  </cols>
  <sheetData>
    <row r="2" spans="2:3" x14ac:dyDescent="0.2">
      <c r="B2" s="113" t="s">
        <v>161</v>
      </c>
      <c r="C2" s="113"/>
    </row>
    <row r="3" spans="2:3" x14ac:dyDescent="0.2">
      <c r="B3" t="s">
        <v>150</v>
      </c>
      <c r="C3" s="27">
        <f>DCF!C8</f>
        <v>28</v>
      </c>
    </row>
    <row r="4" spans="2:3" x14ac:dyDescent="0.2">
      <c r="B4" t="s">
        <v>162</v>
      </c>
      <c r="C4" s="27">
        <f>C5-C3</f>
        <v>3.7545938981587739</v>
      </c>
    </row>
    <row r="5" spans="2:3" x14ac:dyDescent="0.2">
      <c r="B5" t="s">
        <v>151</v>
      </c>
      <c r="C5" s="27">
        <f>DCF!C9</f>
        <v>31.754593898158774</v>
      </c>
    </row>
    <row r="16" spans="2:3" x14ac:dyDescent="0.2">
      <c r="B16" s="1"/>
    </row>
    <row r="17" spans="2:13" x14ac:dyDescent="0.2">
      <c r="B17" s="1"/>
      <c r="C17">
        <v>1995</v>
      </c>
      <c r="D17">
        <v>1996</v>
      </c>
      <c r="E17">
        <v>1997</v>
      </c>
      <c r="F17">
        <v>1998</v>
      </c>
      <c r="G17">
        <v>1999</v>
      </c>
      <c r="H17">
        <v>2000</v>
      </c>
      <c r="I17">
        <v>2001</v>
      </c>
      <c r="J17">
        <v>2002</v>
      </c>
      <c r="K17">
        <v>2003</v>
      </c>
      <c r="L17">
        <v>2004</v>
      </c>
      <c r="M17">
        <v>2005</v>
      </c>
    </row>
    <row r="18" spans="2:13" x14ac:dyDescent="0.2">
      <c r="B18" s="1" t="s">
        <v>131</v>
      </c>
      <c r="C18" s="5">
        <f>DCF!C31/1000</f>
        <v>-22736.884731600003</v>
      </c>
      <c r="D18" s="5">
        <f>DCF!D31/1000</f>
        <v>-33550.925725520006</v>
      </c>
      <c r="E18" s="5">
        <f>DCF!E31/1000</f>
        <v>-43345.860731023473</v>
      </c>
      <c r="F18" s="5">
        <f>DCF!F31/1000</f>
        <v>-44637.972196776034</v>
      </c>
      <c r="G18" s="5">
        <f>DCF!G31/1000</f>
        <v>-26496.153749483168</v>
      </c>
      <c r="H18" s="5">
        <f>DCF!H31/1000</f>
        <v>2578.0916652423293</v>
      </c>
      <c r="I18" s="5">
        <f>DCF!I31/1000</f>
        <v>90782.173024939926</v>
      </c>
      <c r="J18" s="5">
        <f>DCF!J31/1000</f>
        <v>128665.57214346238</v>
      </c>
      <c r="K18" s="5">
        <f>DCF!K31/1000</f>
        <v>166418.20419703715</v>
      </c>
      <c r="L18" s="5">
        <f>DCF!L31/1000</f>
        <v>200934.7498548209</v>
      </c>
      <c r="M18" s="5">
        <f>DCF!M31/1000</f>
        <v>224817.54612445651</v>
      </c>
    </row>
    <row r="19" spans="2:13" x14ac:dyDescent="0.2">
      <c r="B19" s="1" t="s">
        <v>169</v>
      </c>
      <c r="C19" s="5">
        <f>DCF!C33/1000</f>
        <v>-22736.884731600003</v>
      </c>
      <c r="D19" s="5">
        <f>DCF!D33/1000</f>
        <v>-56287.810457120002</v>
      </c>
      <c r="E19" s="5">
        <f>DCF!E33/1000</f>
        <v>-99633.671188143475</v>
      </c>
      <c r="F19" s="5">
        <f>DCF!F33/1000</f>
        <v>-144271.64338491953</v>
      </c>
      <c r="G19" s="5">
        <f>DCF!G33/1000</f>
        <v>-170767.7971344027</v>
      </c>
      <c r="H19" s="5">
        <f>DCF!H33/1000</f>
        <v>-168189.70546916037</v>
      </c>
      <c r="I19" s="5">
        <f>DCF!I33/1000</f>
        <v>-77407.532444220458</v>
      </c>
      <c r="J19" s="5">
        <f>DCF!J33/1000</f>
        <v>51258.039699241934</v>
      </c>
      <c r="K19" s="5">
        <f>DCF!K33/1000</f>
        <v>217676.24389627911</v>
      </c>
      <c r="L19" s="5">
        <f>DCF!L33/1000</f>
        <v>418610.99375110003</v>
      </c>
      <c r="M19" s="5">
        <f>DCF!M33/1000</f>
        <v>643428.53987555648</v>
      </c>
    </row>
    <row r="20" spans="2:13" x14ac:dyDescent="0.2"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x14ac:dyDescent="0.2">
      <c r="C21">
        <v>1995</v>
      </c>
      <c r="D21">
        <v>1996</v>
      </c>
      <c r="E21">
        <v>1997</v>
      </c>
      <c r="F21">
        <v>1998</v>
      </c>
      <c r="G21">
        <v>1999</v>
      </c>
      <c r="H21">
        <v>2000</v>
      </c>
      <c r="I21">
        <v>2001</v>
      </c>
      <c r="J21">
        <v>2002</v>
      </c>
      <c r="K21">
        <v>2003</v>
      </c>
      <c r="L21">
        <v>2004</v>
      </c>
      <c r="M21">
        <v>2005</v>
      </c>
    </row>
    <row r="22" spans="2:13" x14ac:dyDescent="0.2">
      <c r="B22" t="s">
        <v>172</v>
      </c>
      <c r="C22" s="5">
        <f>DCF!C14/1000</f>
        <v>33250.781999999999</v>
      </c>
      <c r="D22" s="5">
        <f>DCF!D14/1000</f>
        <v>63176.485799999995</v>
      </c>
      <c r="E22" s="5">
        <f>DCF!E14/1000</f>
        <v>114570.55699829999</v>
      </c>
      <c r="F22" s="5">
        <f>DCF!F14/1000</f>
        <v>197863.35193606408</v>
      </c>
      <c r="G22" s="5">
        <f>DCF!G14/1000</f>
        <v>324594.8288511131</v>
      </c>
      <c r="H22" s="5">
        <f>DCF!H14/1000</f>
        <v>504420.36403462966</v>
      </c>
      <c r="I22" s="5">
        <f>DCF!I14/1000</f>
        <v>740236.88422081887</v>
      </c>
      <c r="J22" s="5">
        <f>DCF!J14/1000</f>
        <v>1022267.1371089508</v>
      </c>
      <c r="K22" s="5">
        <f>DCF!K14/1000</f>
        <v>1323324.8089875365</v>
      </c>
      <c r="L22" s="5">
        <f>DCF!L14/1000</f>
        <v>1598576.3692569439</v>
      </c>
      <c r="M22" s="5">
        <f>DCF!M14/1000</f>
        <v>1792803.3981216627</v>
      </c>
    </row>
    <row r="23" spans="2:13" x14ac:dyDescent="0.2">
      <c r="B23" s="1" t="s">
        <v>173</v>
      </c>
      <c r="C23" s="7">
        <f>DCF!$C$59/DCF!C14</f>
        <v>36.309742210692413</v>
      </c>
      <c r="D23" s="7">
        <f>DCF!$C$59/DCF!D14</f>
        <v>19.110390637206535</v>
      </c>
      <c r="E23" s="7">
        <f>DCF!$C$59/DCF!E14</f>
        <v>10.53784981373396</v>
      </c>
      <c r="F23" s="7">
        <f>DCF!$C$59/DCF!F14</f>
        <v>6.1018238643508749</v>
      </c>
      <c r="G23" s="7">
        <f>DCF!$C$59/DCF!G14</f>
        <v>3.7194903165808442</v>
      </c>
      <c r="H23" s="7">
        <f>DCF!$C$59/DCF!H14</f>
        <v>2.3934944122141859</v>
      </c>
      <c r="I23" s="7">
        <f>DCF!$C$59/DCF!I14</f>
        <v>1.6310013030420349</v>
      </c>
      <c r="J23" s="7">
        <f>DCF!$C$59/DCF!J14</f>
        <v>1.1810291839551306</v>
      </c>
      <c r="K23" s="7">
        <f>DCF!$C$59/DCF!K14</f>
        <v>0.9123439041754583</v>
      </c>
      <c r="L23" s="7">
        <f>DCF!$C$59/DCF!L14</f>
        <v>0.75525157630418738</v>
      </c>
      <c r="M23" s="7">
        <f>DCF!$C$59/DCF!M14</f>
        <v>0.67342984958019381</v>
      </c>
    </row>
    <row r="24" spans="2:13" x14ac:dyDescent="0.2">
      <c r="C24" s="5"/>
    </row>
    <row r="25" spans="2:13" x14ac:dyDescent="0.2">
      <c r="B25" t="str">
        <f>DCF!B14</f>
        <v>Revenues</v>
      </c>
      <c r="C25" s="5">
        <f>DCF!C14/1000</f>
        <v>33250.781999999999</v>
      </c>
      <c r="D25" s="5"/>
      <c r="E25" s="5"/>
      <c r="F25" s="5"/>
      <c r="G25" s="14"/>
      <c r="H25" s="5"/>
      <c r="I25" s="5"/>
      <c r="J25" s="5"/>
      <c r="K25" s="5"/>
      <c r="L25" s="5"/>
      <c r="M25" s="5"/>
    </row>
    <row r="26" spans="2:13" x14ac:dyDescent="0.2">
      <c r="B26" t="str">
        <f>DCF!B15</f>
        <v>COGS</v>
      </c>
      <c r="C26" s="5">
        <f>DCF!C15/1000</f>
        <v>-3391.5797640000001</v>
      </c>
      <c r="G26" s="14"/>
    </row>
    <row r="27" spans="2:13" x14ac:dyDescent="0.2">
      <c r="B27" t="str">
        <f>DCF!B16</f>
        <v>R&amp;D</v>
      </c>
      <c r="C27" s="5">
        <f>DCF!C16/1000</f>
        <v>-12369.290904</v>
      </c>
      <c r="G27" s="14"/>
    </row>
    <row r="28" spans="2:13" x14ac:dyDescent="0.2">
      <c r="B28" t="s">
        <v>175</v>
      </c>
      <c r="C28" s="5">
        <f>DCF!C17/1000</f>
        <v>-25603.102139999999</v>
      </c>
    </row>
    <row r="29" spans="2:13" x14ac:dyDescent="0.2">
      <c r="B29" t="str">
        <f>DCF!B29</f>
        <v>CAPEX</v>
      </c>
      <c r="C29" s="5">
        <f>DCF!C29/1000</f>
        <v>-14623.693923600002</v>
      </c>
    </row>
    <row r="30" spans="2:13" x14ac:dyDescent="0.2">
      <c r="C30" s="5"/>
    </row>
    <row r="32" spans="2:13" x14ac:dyDescent="0.2">
      <c r="C32" t="s">
        <v>179</v>
      </c>
      <c r="D32" t="s">
        <v>181</v>
      </c>
      <c r="E32" t="s">
        <v>180</v>
      </c>
    </row>
    <row r="33" spans="2:13" x14ac:dyDescent="0.2">
      <c r="B33" t="s">
        <v>182</v>
      </c>
      <c r="C33" s="3">
        <f>DCF!G82</f>
        <v>25.940418789186584</v>
      </c>
      <c r="D33" s="3">
        <f>E33-C33</f>
        <v>15.603555576154829</v>
      </c>
      <c r="E33" s="3">
        <f>DCF!K82</f>
        <v>41.543974365341413</v>
      </c>
    </row>
    <row r="34" spans="2:13" x14ac:dyDescent="0.2">
      <c r="B34" t="s">
        <v>183</v>
      </c>
      <c r="C34" s="3">
        <f>DCF!I84</f>
        <v>21.822765738457381</v>
      </c>
      <c r="D34" s="3">
        <f>E34-C34</f>
        <v>27.407956700344553</v>
      </c>
      <c r="E34" s="3">
        <f>DCF!I80</f>
        <v>49.230722438801934</v>
      </c>
    </row>
    <row r="38" spans="2:13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44" spans="2:13" x14ac:dyDescent="0.2">
      <c r="B44" t="s">
        <v>186</v>
      </c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DCF</vt:lpstr>
      <vt:lpstr>Comparables</vt:lpstr>
      <vt:lpstr>Input--&gt;</vt:lpstr>
      <vt:lpstr>Fin. Statements</vt:lpstr>
      <vt:lpstr>Graph 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(Student) Teien, Andreas</dc:creator>
  <cp:lastModifiedBy>Andreas Teien</cp:lastModifiedBy>
  <dcterms:created xsi:type="dcterms:W3CDTF">2024-02-07T11:23:23Z</dcterms:created>
  <dcterms:modified xsi:type="dcterms:W3CDTF">2025-02-04T07:14:10Z</dcterms:modified>
</cp:coreProperties>
</file>