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Ex1.xml" ContentType="application/vnd.ms-office.chartex+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charts/chart3.xml" ContentType="application/vnd.openxmlformats-officedocument.drawingml.chart+xml"/>
  <Override PartName="/xl/charts/style4.xml" ContentType="application/vnd.ms-office.chartstyle+xml"/>
  <Override PartName="/xl/charts/colors4.xml" ContentType="application/vnd.ms-office.chartcolorstyle+xml"/>
  <Override PartName="/xl/charts/chart4.xml" ContentType="application/vnd.openxmlformats-officedocument.drawingml.chart+xml"/>
  <Override PartName="/xl/charts/style5.xml" ContentType="application/vnd.ms-office.chartstyle+xml"/>
  <Override PartName="/xl/charts/colors5.xml" ContentType="application/vnd.ms-office.chartcolorstyle+xml"/>
  <Override PartName="/xl/charts/chart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6.xml" ContentType="application/vnd.openxmlformats-officedocument.drawingml.chart+xml"/>
  <Override PartName="/xl/charts/style7.xml" ContentType="application/vnd.ms-office.chartstyle+xml"/>
  <Override PartName="/xl/charts/colors7.xml" ContentType="application/vnd.ms-office.chartcolorstyle+xml"/>
  <Override PartName="/xl/charts/chart7.xml" ContentType="application/vnd.openxmlformats-officedocument.drawingml.chart+xml"/>
  <Override PartName="/xl/charts/style8.xml" ContentType="application/vnd.ms-office.chartstyle+xml"/>
  <Override PartName="/xl/charts/colors8.xml" ContentType="application/vnd.ms-office.chartcolorstyle+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defaultThemeVersion="166925"/>
  <mc:AlternateContent xmlns:mc="http://schemas.openxmlformats.org/markup-compatibility/2006">
    <mc:Choice Requires="x15">
      <x15ac:absPath xmlns:x15ac="http://schemas.microsoft.com/office/spreadsheetml/2010/11/ac" url="/Users/andreasteien/Desktop/BI/ELE 3750 - Finansiell analyse og verdsettelse/Arbeidskrav/"/>
    </mc:Choice>
  </mc:AlternateContent>
  <xr:revisionPtr revIDLastSave="0" documentId="13_ncr:1_{64758F84-C8A2-774B-AEC0-757CF58011FA}" xr6:coauthVersionLast="47" xr6:coauthVersionMax="47" xr10:uidLastSave="{00000000-0000-0000-0000-000000000000}"/>
  <bookViews>
    <workbookView xWindow="0" yWindow="500" windowWidth="33600" windowHeight="18920" activeTab="2" xr2:uid="{C301F95F-60D6-F341-A2DC-9BB9AB72280B}"/>
  </bookViews>
  <sheets>
    <sheet name="Resultat" sheetId="1" state="hidden" r:id="rId1"/>
    <sheet name="Sheet5" sheetId="18" r:id="rId2"/>
    <sheet name="Resultatny" sheetId="7" r:id="rId3"/>
    <sheet name="F.cast FCF" sheetId="14" r:id="rId4"/>
    <sheet name="Valuation" sheetId="17" r:id="rId5"/>
    <sheet name="F.cast Resultat" sheetId="13" r:id="rId6"/>
    <sheet name="F.cast Balanse" sheetId="15" r:id="rId7"/>
    <sheet name="Lønnsomhet" sheetId="9" r:id="rId8"/>
    <sheet name="NØKKELTALL" sheetId="19" r:id="rId9"/>
    <sheet name="Vekst" sheetId="12" r:id="rId10"/>
    <sheet name="Oppgaven" sheetId="6" r:id="rId11"/>
    <sheet name="Balanse" sheetId="2" state="hidden" r:id="rId12"/>
    <sheet name="Balanseny" sheetId="8" r:id="rId13"/>
  </sheets>
  <definedNames>
    <definedName name="_xlchart.v1.0" hidden="1">Valuation!$J$29:$J$31</definedName>
    <definedName name="_xlchart.v1.1" hidden="1">Valuation!$L$29:$L$31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3" i="13" l="1"/>
  <c r="J21" i="7"/>
  <c r="H20" i="13"/>
  <c r="J38" i="17"/>
  <c r="K36" i="17"/>
  <c r="D32" i="17"/>
  <c r="M40" i="19"/>
  <c r="N40" i="19"/>
  <c r="O40" i="19"/>
  <c r="Q40" i="19"/>
  <c r="M39" i="19"/>
  <c r="N39" i="19"/>
  <c r="O39" i="19"/>
  <c r="Q39" i="19"/>
  <c r="L39" i="19"/>
  <c r="K40" i="19"/>
  <c r="K39" i="19"/>
  <c r="M36" i="19"/>
  <c r="N36" i="19"/>
  <c r="O36" i="19"/>
  <c r="Q36" i="19"/>
  <c r="M37" i="19"/>
  <c r="N37" i="19"/>
  <c r="O37" i="19"/>
  <c r="Q37" i="19"/>
  <c r="N35" i="19"/>
  <c r="O35" i="19"/>
  <c r="Q35" i="19"/>
  <c r="M35" i="19"/>
  <c r="L32" i="19"/>
  <c r="M32" i="19"/>
  <c r="N32" i="19"/>
  <c r="O32" i="19"/>
  <c r="Q32" i="19"/>
  <c r="L33" i="19"/>
  <c r="M33" i="19"/>
  <c r="N33" i="19"/>
  <c r="O33" i="19"/>
  <c r="Q33" i="19"/>
  <c r="M31" i="19"/>
  <c r="N31" i="19"/>
  <c r="O31" i="19"/>
  <c r="Q31" i="19"/>
  <c r="L31" i="19"/>
  <c r="K32" i="19"/>
  <c r="K33" i="19"/>
  <c r="K35" i="19"/>
  <c r="K36" i="19"/>
  <c r="K37" i="19"/>
  <c r="K31" i="19"/>
  <c r="M26" i="19"/>
  <c r="N26" i="19"/>
  <c r="O26" i="19"/>
  <c r="P26" i="19"/>
  <c r="M27" i="19"/>
  <c r="N27" i="19"/>
  <c r="O27" i="19"/>
  <c r="P27" i="19"/>
  <c r="M28" i="19"/>
  <c r="N28" i="19"/>
  <c r="O28" i="19"/>
  <c r="P28" i="19"/>
  <c r="M29" i="19"/>
  <c r="N29" i="19"/>
  <c r="O29" i="19"/>
  <c r="P29" i="19"/>
  <c r="N25" i="19"/>
  <c r="O25" i="19"/>
  <c r="P25" i="19"/>
  <c r="M25" i="19"/>
  <c r="M22" i="19"/>
  <c r="N22" i="19"/>
  <c r="O22" i="19"/>
  <c r="P22" i="19"/>
  <c r="M23" i="19"/>
  <c r="N23" i="19"/>
  <c r="O23" i="19"/>
  <c r="P23" i="19"/>
  <c r="N21" i="19"/>
  <c r="O21" i="19"/>
  <c r="P21" i="19"/>
  <c r="M21" i="19"/>
  <c r="M16" i="19"/>
  <c r="N16" i="19"/>
  <c r="O16" i="19"/>
  <c r="P16" i="19"/>
  <c r="M17" i="19"/>
  <c r="N17" i="19"/>
  <c r="O17" i="19"/>
  <c r="P17" i="19"/>
  <c r="M18" i="19"/>
  <c r="N18" i="19"/>
  <c r="O18" i="19"/>
  <c r="P18" i="19"/>
  <c r="N19" i="19"/>
  <c r="O19" i="19"/>
  <c r="P19" i="19"/>
  <c r="N15" i="19"/>
  <c r="O15" i="19"/>
  <c r="P15" i="19"/>
  <c r="M15" i="19"/>
  <c r="L10" i="19"/>
  <c r="M10" i="19"/>
  <c r="N10" i="19"/>
  <c r="O10" i="19"/>
  <c r="P10" i="19"/>
  <c r="L11" i="19"/>
  <c r="M11" i="19"/>
  <c r="N11" i="19"/>
  <c r="O11" i="19"/>
  <c r="P11" i="19"/>
  <c r="M12" i="19"/>
  <c r="N12" i="19"/>
  <c r="O12" i="19"/>
  <c r="P12" i="19"/>
  <c r="M13" i="19"/>
  <c r="N13" i="19"/>
  <c r="O13" i="19"/>
  <c r="P13" i="19"/>
  <c r="M9" i="19"/>
  <c r="N9" i="19"/>
  <c r="O9" i="19"/>
  <c r="P9" i="19"/>
  <c r="L9" i="19"/>
  <c r="L6" i="19"/>
  <c r="M6" i="19"/>
  <c r="N6" i="19"/>
  <c r="O6" i="19"/>
  <c r="P6" i="19"/>
  <c r="L7" i="19"/>
  <c r="M7" i="19"/>
  <c r="N7" i="19"/>
  <c r="O7" i="19"/>
  <c r="P7" i="19"/>
  <c r="M5" i="19"/>
  <c r="N5" i="19"/>
  <c r="O5" i="19"/>
  <c r="P5" i="19"/>
  <c r="L5" i="19"/>
  <c r="D55" i="19"/>
  <c r="E55" i="19"/>
  <c r="F55" i="19"/>
  <c r="G55" i="19"/>
  <c r="D56" i="19"/>
  <c r="E56" i="19"/>
  <c r="F56" i="19"/>
  <c r="G56" i="19"/>
  <c r="C58" i="19"/>
  <c r="D58" i="19"/>
  <c r="E58" i="19"/>
  <c r="F58" i="19"/>
  <c r="G58" i="19"/>
  <c r="C59" i="19"/>
  <c r="D59" i="19"/>
  <c r="E59" i="19"/>
  <c r="F59" i="19"/>
  <c r="G59" i="19"/>
  <c r="C60" i="19"/>
  <c r="D60" i="19"/>
  <c r="E60" i="19"/>
  <c r="F60" i="19"/>
  <c r="G60" i="19"/>
  <c r="D54" i="19"/>
  <c r="E54" i="19"/>
  <c r="F54" i="19"/>
  <c r="G54" i="19"/>
  <c r="D50" i="19"/>
  <c r="E50" i="19"/>
  <c r="F50" i="19"/>
  <c r="G50" i="19"/>
  <c r="D51" i="19"/>
  <c r="E51" i="19"/>
  <c r="F51" i="19"/>
  <c r="G51" i="19"/>
  <c r="D52" i="19"/>
  <c r="E52" i="19"/>
  <c r="F52" i="19"/>
  <c r="G52" i="19"/>
  <c r="E49" i="19"/>
  <c r="F49" i="19"/>
  <c r="G49" i="19"/>
  <c r="D49" i="19"/>
  <c r="C42" i="19"/>
  <c r="D42" i="19"/>
  <c r="E42" i="19"/>
  <c r="F42" i="19"/>
  <c r="G42" i="19"/>
  <c r="H42" i="19"/>
  <c r="D43" i="19"/>
  <c r="E43" i="19"/>
  <c r="F43" i="19"/>
  <c r="G43" i="19"/>
  <c r="H43" i="19"/>
  <c r="C44" i="19"/>
  <c r="D44" i="19"/>
  <c r="E44" i="19"/>
  <c r="F44" i="19"/>
  <c r="G44" i="19"/>
  <c r="H44" i="19"/>
  <c r="D45" i="19"/>
  <c r="E45" i="19"/>
  <c r="F45" i="19"/>
  <c r="G45" i="19"/>
  <c r="H45" i="19"/>
  <c r="D46" i="19"/>
  <c r="E46" i="19"/>
  <c r="F46" i="19"/>
  <c r="G46" i="19"/>
  <c r="H46" i="19"/>
  <c r="D47" i="19"/>
  <c r="E47" i="19"/>
  <c r="F47" i="19"/>
  <c r="G47" i="19"/>
  <c r="H47" i="19"/>
  <c r="D41" i="19"/>
  <c r="E41" i="19"/>
  <c r="F41" i="19"/>
  <c r="G41" i="19"/>
  <c r="H41" i="19"/>
  <c r="C41" i="19"/>
  <c r="D36" i="19"/>
  <c r="E36" i="19"/>
  <c r="F36" i="19"/>
  <c r="G36" i="19"/>
  <c r="D37" i="19"/>
  <c r="E37" i="19"/>
  <c r="F37" i="19"/>
  <c r="G37" i="19"/>
  <c r="D38" i="19"/>
  <c r="E38" i="19"/>
  <c r="F38" i="19"/>
  <c r="G38" i="19"/>
  <c r="D39" i="19"/>
  <c r="E39" i="19"/>
  <c r="F39" i="19"/>
  <c r="G39" i="19"/>
  <c r="E35" i="19"/>
  <c r="F35" i="19"/>
  <c r="G35" i="19"/>
  <c r="D35" i="19"/>
  <c r="C32" i="19"/>
  <c r="D32" i="19"/>
  <c r="E32" i="19"/>
  <c r="F32" i="19"/>
  <c r="G32" i="19"/>
  <c r="C33" i="19"/>
  <c r="D33" i="19"/>
  <c r="E33" i="19"/>
  <c r="F33" i="19"/>
  <c r="G33" i="19"/>
  <c r="E31" i="19"/>
  <c r="F31" i="19"/>
  <c r="G31" i="19"/>
  <c r="C31" i="19"/>
  <c r="D31" i="19"/>
  <c r="D24" i="19"/>
  <c r="E24" i="19"/>
  <c r="F24" i="19"/>
  <c r="G24" i="19"/>
  <c r="D25" i="19"/>
  <c r="E25" i="19"/>
  <c r="F25" i="19"/>
  <c r="G25" i="19"/>
  <c r="D26" i="19"/>
  <c r="E26" i="19"/>
  <c r="F26" i="19"/>
  <c r="G26" i="19"/>
  <c r="D27" i="19"/>
  <c r="E27" i="19"/>
  <c r="F27" i="19"/>
  <c r="G27" i="19"/>
  <c r="D28" i="19"/>
  <c r="E28" i="19"/>
  <c r="F28" i="19"/>
  <c r="G28" i="19"/>
  <c r="D29" i="19"/>
  <c r="E29" i="19"/>
  <c r="F29" i="19"/>
  <c r="G29" i="19"/>
  <c r="E23" i="19"/>
  <c r="F23" i="19"/>
  <c r="G23" i="19"/>
  <c r="D23" i="19"/>
  <c r="D18" i="19"/>
  <c r="E18" i="19"/>
  <c r="F18" i="19"/>
  <c r="G18" i="19"/>
  <c r="D19" i="19"/>
  <c r="E19" i="19"/>
  <c r="F19" i="19"/>
  <c r="G19" i="19"/>
  <c r="D20" i="19"/>
  <c r="E20" i="19"/>
  <c r="F20" i="19"/>
  <c r="G20" i="19"/>
  <c r="D21" i="19"/>
  <c r="E21" i="19"/>
  <c r="F21" i="19"/>
  <c r="G21" i="19"/>
  <c r="E17" i="19"/>
  <c r="F17" i="19"/>
  <c r="G17" i="19"/>
  <c r="D17" i="19"/>
  <c r="C11" i="19"/>
  <c r="D11" i="19"/>
  <c r="E11" i="19"/>
  <c r="F11" i="19"/>
  <c r="G11" i="19"/>
  <c r="H11" i="19"/>
  <c r="D12" i="19"/>
  <c r="E12" i="19"/>
  <c r="F12" i="19"/>
  <c r="G12" i="19"/>
  <c r="H12" i="19"/>
  <c r="D13" i="19"/>
  <c r="E13" i="19"/>
  <c r="F13" i="19"/>
  <c r="G13" i="19"/>
  <c r="H13" i="19"/>
  <c r="D14" i="19"/>
  <c r="E14" i="19"/>
  <c r="F14" i="19"/>
  <c r="G14" i="19"/>
  <c r="H14" i="19"/>
  <c r="D15" i="19"/>
  <c r="E15" i="19"/>
  <c r="F15" i="19"/>
  <c r="G15" i="19"/>
  <c r="H15" i="19"/>
  <c r="C6" i="19"/>
  <c r="D6" i="19"/>
  <c r="E6" i="19"/>
  <c r="F6" i="19"/>
  <c r="G6" i="19"/>
  <c r="H6" i="19"/>
  <c r="D7" i="19"/>
  <c r="E7" i="19"/>
  <c r="F7" i="19"/>
  <c r="G7" i="19"/>
  <c r="H7" i="19"/>
  <c r="D8" i="19"/>
  <c r="E8" i="19"/>
  <c r="F8" i="19"/>
  <c r="G8" i="19"/>
  <c r="H8" i="19"/>
  <c r="E9" i="19"/>
  <c r="F9" i="19"/>
  <c r="G9" i="19"/>
  <c r="H9" i="19"/>
  <c r="D5" i="19"/>
  <c r="E5" i="19"/>
  <c r="F5" i="19"/>
  <c r="G5" i="19"/>
  <c r="H5" i="19"/>
  <c r="C5" i="19"/>
  <c r="K28" i="19"/>
  <c r="K29" i="19"/>
  <c r="K23" i="19"/>
  <c r="K25" i="19"/>
  <c r="K26" i="19"/>
  <c r="K27" i="19"/>
  <c r="K11" i="19"/>
  <c r="K12" i="19"/>
  <c r="K13" i="19"/>
  <c r="K15" i="19"/>
  <c r="K16" i="19"/>
  <c r="K17" i="19"/>
  <c r="K18" i="19"/>
  <c r="K19" i="19"/>
  <c r="K21" i="19"/>
  <c r="K22" i="19"/>
  <c r="B56" i="19"/>
  <c r="B58" i="19"/>
  <c r="B59" i="19"/>
  <c r="B60" i="19"/>
  <c r="K5" i="19"/>
  <c r="K6" i="19"/>
  <c r="K7" i="19"/>
  <c r="K9" i="19"/>
  <c r="K10" i="19"/>
  <c r="B44" i="19"/>
  <c r="B45" i="19"/>
  <c r="B46" i="19"/>
  <c r="B47" i="19"/>
  <c r="B49" i="19"/>
  <c r="B50" i="19"/>
  <c r="B51" i="19"/>
  <c r="B52" i="19"/>
  <c r="B54" i="19"/>
  <c r="B55" i="19"/>
  <c r="B31" i="19"/>
  <c r="B32" i="19"/>
  <c r="B33" i="19"/>
  <c r="B35" i="19"/>
  <c r="B36" i="19"/>
  <c r="B37" i="19"/>
  <c r="B38" i="19"/>
  <c r="B39" i="19"/>
  <c r="B41" i="19"/>
  <c r="B42" i="19"/>
  <c r="B43" i="19"/>
  <c r="B20" i="19"/>
  <c r="B21" i="19"/>
  <c r="B23" i="19"/>
  <c r="B24" i="19"/>
  <c r="B25" i="19"/>
  <c r="B26" i="19"/>
  <c r="B27" i="19"/>
  <c r="B28" i="19"/>
  <c r="B29" i="19"/>
  <c r="B6" i="19"/>
  <c r="B7" i="19"/>
  <c r="B8" i="19"/>
  <c r="B9" i="19"/>
  <c r="B11" i="19"/>
  <c r="B12" i="19"/>
  <c r="B13" i="19"/>
  <c r="B14" i="19"/>
  <c r="B15" i="19"/>
  <c r="B17" i="19"/>
  <c r="B18" i="19"/>
  <c r="B19" i="19"/>
  <c r="B5" i="19"/>
  <c r="D12" i="9"/>
  <c r="AG12" i="9"/>
  <c r="AH7" i="9"/>
  <c r="AA42" i="12"/>
  <c r="AA41" i="12"/>
  <c r="AA40" i="12"/>
  <c r="AA39" i="12"/>
  <c r="AA38" i="12"/>
  <c r="AA37" i="12"/>
  <c r="AA36" i="12"/>
  <c r="AJ12" i="12"/>
  <c r="AJ13" i="12"/>
  <c r="AJ11" i="12"/>
  <c r="AA12" i="12"/>
  <c r="AA13" i="12"/>
  <c r="AA11" i="12"/>
  <c r="D9" i="19" l="1"/>
  <c r="D33" i="17"/>
  <c r="D31" i="17"/>
  <c r="E32" i="17"/>
  <c r="L29" i="17" s="1"/>
  <c r="D30" i="17"/>
  <c r="C81" i="17"/>
  <c r="C19" i="17"/>
  <c r="E45" i="17" l="1"/>
  <c r="F45" i="17"/>
  <c r="G45" i="17"/>
  <c r="H45" i="17"/>
  <c r="D45" i="17"/>
  <c r="E8" i="17"/>
  <c r="F8" i="17"/>
  <c r="G8" i="17"/>
  <c r="H8" i="17"/>
  <c r="D8" i="17"/>
  <c r="G12" i="14" l="1"/>
  <c r="H12" i="14"/>
  <c r="I12" i="14"/>
  <c r="J12" i="14"/>
  <c r="K12" i="14"/>
  <c r="G13" i="14"/>
  <c r="K13" i="14"/>
  <c r="H21" i="15"/>
  <c r="I21" i="15" s="1"/>
  <c r="J21" i="15" s="1"/>
  <c r="K21" i="15" s="1"/>
  <c r="L21" i="15" s="1"/>
  <c r="F10" i="13"/>
  <c r="E10" i="13"/>
  <c r="E5" i="15"/>
  <c r="C5" i="15"/>
  <c r="E9" i="13"/>
  <c r="E5" i="13"/>
  <c r="F36" i="13"/>
  <c r="F30" i="13" s="1"/>
  <c r="F31" i="13" s="1"/>
  <c r="F20" i="13"/>
  <c r="E8" i="13" s="1"/>
  <c r="C20" i="13"/>
  <c r="C22" i="13" s="1"/>
  <c r="C26" i="13" s="1"/>
  <c r="C28" i="13" s="1"/>
  <c r="D20" i="13"/>
  <c r="E20" i="13"/>
  <c r="G20" i="13"/>
  <c r="G22" i="13" s="1"/>
  <c r="G26" i="13" s="1"/>
  <c r="G28" i="13" s="1"/>
  <c r="D22" i="13"/>
  <c r="D26" i="13" s="1"/>
  <c r="D28" i="13" s="1"/>
  <c r="E22" i="13"/>
  <c r="E26" i="13" s="1"/>
  <c r="E28" i="13" s="1"/>
  <c r="C36" i="13"/>
  <c r="C30" i="13" s="1"/>
  <c r="C31" i="13" s="1"/>
  <c r="D36" i="13"/>
  <c r="D30" i="13" s="1"/>
  <c r="D31" i="13" s="1"/>
  <c r="E36" i="13"/>
  <c r="E30" i="13" s="1"/>
  <c r="E31" i="13" s="1"/>
  <c r="G36" i="13"/>
  <c r="G30" i="13" s="1"/>
  <c r="G31" i="13" s="1"/>
  <c r="D5" i="15"/>
  <c r="F5" i="15"/>
  <c r="G5" i="15"/>
  <c r="H5" i="15"/>
  <c r="I5" i="15" s="1"/>
  <c r="J5" i="15" s="1"/>
  <c r="K5" i="15" s="1"/>
  <c r="C48" i="15"/>
  <c r="D48" i="15"/>
  <c r="E48" i="15"/>
  <c r="C31" i="15"/>
  <c r="D31" i="15"/>
  <c r="E31" i="15"/>
  <c r="F31" i="15"/>
  <c r="G31" i="15"/>
  <c r="C57" i="15"/>
  <c r="D57" i="15"/>
  <c r="D59" i="15" s="1"/>
  <c r="E57" i="15"/>
  <c r="F57" i="15"/>
  <c r="F59" i="15" s="1"/>
  <c r="G57" i="15"/>
  <c r="E59" i="15"/>
  <c r="C39" i="15"/>
  <c r="D39" i="15"/>
  <c r="D41" i="15" s="1"/>
  <c r="E39" i="15"/>
  <c r="F39" i="15"/>
  <c r="G39" i="15"/>
  <c r="H35" i="13"/>
  <c r="I35" i="13" s="1"/>
  <c r="J35" i="13" s="1"/>
  <c r="K35" i="13" s="1"/>
  <c r="L35" i="13" s="1"/>
  <c r="H25" i="13"/>
  <c r="I25" i="13" s="1"/>
  <c r="J25" i="13" s="1"/>
  <c r="K25" i="13" s="1"/>
  <c r="L25" i="13" s="1"/>
  <c r="I24" i="13"/>
  <c r="L24" i="13" s="1"/>
  <c r="J24" i="13"/>
  <c r="H24" i="13"/>
  <c r="K24" i="13" s="1"/>
  <c r="C5" i="13"/>
  <c r="D5" i="13"/>
  <c r="F5" i="13"/>
  <c r="E41" i="15" l="1"/>
  <c r="D15" i="15" s="1"/>
  <c r="C15" i="15"/>
  <c r="G59" i="15"/>
  <c r="C64" i="17"/>
  <c r="C49" i="17"/>
  <c r="E6" i="13"/>
  <c r="F9" i="13"/>
  <c r="J13" i="14"/>
  <c r="F22" i="13"/>
  <c r="F26" i="13" s="1"/>
  <c r="F28" i="13" s="1"/>
  <c r="F32" i="13" s="1"/>
  <c r="F37" i="13" s="1"/>
  <c r="E7" i="13"/>
  <c r="F8" i="13"/>
  <c r="I13" i="14"/>
  <c r="H13" i="14"/>
  <c r="D32" i="13"/>
  <c r="D37" i="13" s="1"/>
  <c r="C32" i="13"/>
  <c r="C37" i="13" s="1"/>
  <c r="E32" i="13"/>
  <c r="E37" i="13" s="1"/>
  <c r="G32" i="13"/>
  <c r="G37" i="13" s="1"/>
  <c r="C20" i="17" s="1"/>
  <c r="H23" i="13"/>
  <c r="I23" i="13" s="1"/>
  <c r="J23" i="13" s="1"/>
  <c r="K23" i="13" s="1"/>
  <c r="L23" i="13" s="1"/>
  <c r="C41" i="15"/>
  <c r="F41" i="15"/>
  <c r="E15" i="15" s="1"/>
  <c r="G41" i="15"/>
  <c r="C55" i="17" s="1"/>
  <c r="C59" i="15"/>
  <c r="F15" i="15" l="1"/>
  <c r="G11" i="14"/>
  <c r="H27" i="13"/>
  <c r="I27" i="13" l="1"/>
  <c r="G6" i="14"/>
  <c r="I33" i="13"/>
  <c r="H11" i="14" s="1"/>
  <c r="H36" i="13"/>
  <c r="J27" i="13" l="1"/>
  <c r="H6" i="14"/>
  <c r="H30" i="13"/>
  <c r="G14" i="14"/>
  <c r="J33" i="13"/>
  <c r="I11" i="14" s="1"/>
  <c r="I36" i="13"/>
  <c r="K27" i="13" l="1"/>
  <c r="I6" i="14"/>
  <c r="I30" i="13"/>
  <c r="H14" i="14"/>
  <c r="K33" i="13"/>
  <c r="J11" i="14" s="1"/>
  <c r="J36" i="13"/>
  <c r="L27" i="13" l="1"/>
  <c r="K6" i="14" s="1"/>
  <c r="J6" i="14"/>
  <c r="J30" i="13"/>
  <c r="I14" i="14"/>
  <c r="L33" i="13"/>
  <c r="K36" i="13"/>
  <c r="L36" i="13" l="1"/>
  <c r="K11" i="14"/>
  <c r="K30" i="13"/>
  <c r="J14" i="14"/>
  <c r="D19" i="14"/>
  <c r="E19" i="14"/>
  <c r="F19" i="14"/>
  <c r="C19" i="14"/>
  <c r="F12" i="14"/>
  <c r="F13" i="14"/>
  <c r="F11" i="14"/>
  <c r="C12" i="14"/>
  <c r="D12" i="14"/>
  <c r="E12" i="14"/>
  <c r="C13" i="14"/>
  <c r="D13" i="14"/>
  <c r="E13" i="14"/>
  <c r="D14" i="14"/>
  <c r="D11" i="14"/>
  <c r="E11" i="14"/>
  <c r="C11" i="14"/>
  <c r="C6" i="14"/>
  <c r="D6" i="14"/>
  <c r="E6" i="14"/>
  <c r="D4" i="12"/>
  <c r="E4" i="12"/>
  <c r="F4" i="12"/>
  <c r="G4" i="12"/>
  <c r="C4" i="12"/>
  <c r="J121" i="8"/>
  <c r="J119" i="8"/>
  <c r="J120" i="8" s="1"/>
  <c r="O27" i="12"/>
  <c r="O28" i="12"/>
  <c r="O29" i="12"/>
  <c r="L21" i="12"/>
  <c r="M21" i="12"/>
  <c r="N21" i="12"/>
  <c r="O21" i="12"/>
  <c r="K21" i="12"/>
  <c r="O14" i="12"/>
  <c r="O20" i="12" s="1"/>
  <c r="L8" i="12"/>
  <c r="L14" i="12" s="1"/>
  <c r="L20" i="12" s="1"/>
  <c r="M8" i="12"/>
  <c r="M14" i="12" s="1"/>
  <c r="M20" i="12" s="1"/>
  <c r="N8" i="12"/>
  <c r="N14" i="12" s="1"/>
  <c r="N20" i="12" s="1"/>
  <c r="K8" i="12"/>
  <c r="K14" i="12" s="1"/>
  <c r="K20" i="12" s="1"/>
  <c r="N15" i="12"/>
  <c r="O15" i="12"/>
  <c r="N16" i="12"/>
  <c r="O16" i="12"/>
  <c r="N9" i="12"/>
  <c r="N10" i="12" s="1"/>
  <c r="O9" i="12"/>
  <c r="O10" i="12" s="1"/>
  <c r="H49" i="9"/>
  <c r="G49" i="9"/>
  <c r="N46" i="7"/>
  <c r="N55" i="7" s="1"/>
  <c r="N21" i="7"/>
  <c r="N15" i="7" s="1"/>
  <c r="N16" i="7" s="1"/>
  <c r="N5" i="7"/>
  <c r="G10" i="12"/>
  <c r="G11" i="12" s="1"/>
  <c r="F15" i="12" s="1"/>
  <c r="D10" i="12"/>
  <c r="D11" i="12" s="1"/>
  <c r="C15" i="12" s="1"/>
  <c r="E10" i="12"/>
  <c r="E11" i="12" s="1"/>
  <c r="D15" i="12" s="1"/>
  <c r="F10" i="12"/>
  <c r="F11" i="12" s="1"/>
  <c r="E15" i="12" s="1"/>
  <c r="C10" i="12"/>
  <c r="C11" i="12" s="1"/>
  <c r="B101" i="9"/>
  <c r="B100" i="9"/>
  <c r="B104" i="9"/>
  <c r="B103" i="9"/>
  <c r="B102" i="9"/>
  <c r="B89" i="9"/>
  <c r="D93" i="9"/>
  <c r="D99" i="9" s="1"/>
  <c r="E93" i="9"/>
  <c r="E99" i="9" s="1"/>
  <c r="F93" i="9"/>
  <c r="F99" i="9" s="1"/>
  <c r="C93" i="9"/>
  <c r="C99" i="9" s="1"/>
  <c r="G76" i="9"/>
  <c r="F76" i="9"/>
  <c r="D81" i="9"/>
  <c r="E81" i="9"/>
  <c r="F81" i="9"/>
  <c r="G81" i="9"/>
  <c r="C81" i="9"/>
  <c r="G80" i="9"/>
  <c r="F80" i="9"/>
  <c r="E80" i="9"/>
  <c r="D80" i="9"/>
  <c r="C80" i="9"/>
  <c r="J50" i="9"/>
  <c r="J52" i="9"/>
  <c r="D53" i="9"/>
  <c r="E53" i="9"/>
  <c r="F53" i="9"/>
  <c r="G53" i="9"/>
  <c r="H53" i="9" s="1"/>
  <c r="D54" i="9"/>
  <c r="F51" i="9"/>
  <c r="G51" i="9"/>
  <c r="H51" i="9" s="1"/>
  <c r="P30" i="9"/>
  <c r="P29" i="9"/>
  <c r="P28" i="9"/>
  <c r="J21" i="9"/>
  <c r="P38" i="9" s="1"/>
  <c r="J17" i="9"/>
  <c r="P27" i="9" s="1"/>
  <c r="P37" i="9" s="1"/>
  <c r="C23" i="9"/>
  <c r="D88" i="9" s="1"/>
  <c r="D23" i="9"/>
  <c r="E88" i="9" s="1"/>
  <c r="E23" i="9"/>
  <c r="F88" i="9" s="1"/>
  <c r="F23" i="9"/>
  <c r="E65" i="9"/>
  <c r="F65" i="9"/>
  <c r="G65" i="9"/>
  <c r="S5" i="9"/>
  <c r="T5" i="9"/>
  <c r="I39" i="7"/>
  <c r="I53" i="7" s="1"/>
  <c r="I38" i="7"/>
  <c r="I52" i="7" s="1"/>
  <c r="I37" i="7"/>
  <c r="I60" i="7" s="1"/>
  <c r="I36" i="7"/>
  <c r="I50" i="7" s="1"/>
  <c r="I35" i="7"/>
  <c r="I49" i="7" s="1"/>
  <c r="I34" i="7"/>
  <c r="I48" i="7" s="1"/>
  <c r="I33" i="7"/>
  <c r="I56" i="7" s="1"/>
  <c r="O21" i="7"/>
  <c r="O15" i="7" s="1"/>
  <c r="O16" i="7" s="1"/>
  <c r="M21" i="7"/>
  <c r="M15" i="7" s="1"/>
  <c r="M16" i="7" s="1"/>
  <c r="L21" i="7"/>
  <c r="L15" i="7" s="1"/>
  <c r="L16" i="7" s="1"/>
  <c r="K21" i="7"/>
  <c r="K15" i="7" s="1"/>
  <c r="K16" i="7" s="1"/>
  <c r="J15" i="7"/>
  <c r="J16" i="7" s="1"/>
  <c r="K5" i="7"/>
  <c r="L5" i="7"/>
  <c r="M5" i="7"/>
  <c r="O5" i="7"/>
  <c r="O7" i="7" s="1"/>
  <c r="J5" i="7"/>
  <c r="J7" i="7" s="1"/>
  <c r="J11" i="7" s="1"/>
  <c r="J13" i="7" s="1"/>
  <c r="J36" i="7" s="1"/>
  <c r="J4" i="9"/>
  <c r="F24" i="8"/>
  <c r="G24" i="8"/>
  <c r="C22" i="9"/>
  <c r="D22" i="9"/>
  <c r="E22" i="9"/>
  <c r="F22" i="9"/>
  <c r="G88" i="9" l="1"/>
  <c r="C21" i="17"/>
  <c r="C14" i="14"/>
  <c r="F14" i="14"/>
  <c r="L7" i="7"/>
  <c r="L11" i="7" s="1"/>
  <c r="L13" i="7" s="1"/>
  <c r="L36" i="7" s="1"/>
  <c r="L59" i="7" s="1"/>
  <c r="D12" i="15"/>
  <c r="D14" i="15"/>
  <c r="D13" i="15"/>
  <c r="D11" i="15"/>
  <c r="D10" i="15"/>
  <c r="D8" i="15"/>
  <c r="D7" i="15"/>
  <c r="D6" i="15"/>
  <c r="D9" i="15"/>
  <c r="M7" i="7"/>
  <c r="M11" i="7" s="1"/>
  <c r="M13" i="7" s="1"/>
  <c r="M36" i="7" s="1"/>
  <c r="E6" i="15"/>
  <c r="E11" i="15"/>
  <c r="E8" i="15"/>
  <c r="E12" i="15"/>
  <c r="E9" i="15"/>
  <c r="E13" i="15"/>
  <c r="E10" i="15"/>
  <c r="E7" i="15"/>
  <c r="E14" i="15"/>
  <c r="K7" i="7"/>
  <c r="K11" i="7" s="1"/>
  <c r="K13" i="7" s="1"/>
  <c r="K36" i="7" s="1"/>
  <c r="J59" i="7" s="1"/>
  <c r="C9" i="15"/>
  <c r="C6" i="15"/>
  <c r="C14" i="15"/>
  <c r="C13" i="15"/>
  <c r="C11" i="15"/>
  <c r="C10" i="15"/>
  <c r="C8" i="15"/>
  <c r="C7" i="15"/>
  <c r="C12" i="15"/>
  <c r="N7" i="7"/>
  <c r="N11" i="7" s="1"/>
  <c r="N13" i="7" s="1"/>
  <c r="F14" i="15"/>
  <c r="F13" i="15"/>
  <c r="F11" i="15"/>
  <c r="F10" i="15"/>
  <c r="F8" i="15"/>
  <c r="F7" i="15"/>
  <c r="F6" i="15"/>
  <c r="F9" i="15"/>
  <c r="F12" i="15"/>
  <c r="E14" i="14"/>
  <c r="L30" i="13"/>
  <c r="K14" i="14"/>
  <c r="D7" i="13"/>
  <c r="D6" i="13"/>
  <c r="D8" i="13"/>
  <c r="D9" i="13"/>
  <c r="F6" i="13"/>
  <c r="F7" i="13"/>
  <c r="C9" i="13"/>
  <c r="C6" i="13"/>
  <c r="C7" i="13"/>
  <c r="C8" i="13"/>
  <c r="O11" i="7"/>
  <c r="O13" i="7" s="1"/>
  <c r="M22" i="12"/>
  <c r="N22" i="12"/>
  <c r="L22" i="12"/>
  <c r="O22" i="12"/>
  <c r="N17" i="12"/>
  <c r="O17" i="12"/>
  <c r="C70" i="9"/>
  <c r="D70" i="9"/>
  <c r="G70" i="9"/>
  <c r="F70" i="9"/>
  <c r="E70" i="9"/>
  <c r="I70" i="9"/>
  <c r="E82" i="9"/>
  <c r="O34" i="7"/>
  <c r="D82" i="9"/>
  <c r="C82" i="9"/>
  <c r="F82" i="9"/>
  <c r="O33" i="7"/>
  <c r="N17" i="7"/>
  <c r="G82" i="9"/>
  <c r="J49" i="9"/>
  <c r="G54" i="9"/>
  <c r="H54" i="9" s="1"/>
  <c r="F54" i="9"/>
  <c r="E54" i="9"/>
  <c r="G52" i="9"/>
  <c r="H52" i="9" s="1"/>
  <c r="N7" i="9"/>
  <c r="T4" i="9" s="1"/>
  <c r="M7" i="9"/>
  <c r="S4" i="9" s="1"/>
  <c r="D60" i="9"/>
  <c r="I62" i="7"/>
  <c r="I58" i="7"/>
  <c r="K50" i="7"/>
  <c r="I51" i="7"/>
  <c r="I47" i="7"/>
  <c r="I61" i="7"/>
  <c r="I57" i="7"/>
  <c r="I59" i="7"/>
  <c r="L7" i="9"/>
  <c r="R4" i="9" s="1"/>
  <c r="C31" i="9"/>
  <c r="K7" i="9"/>
  <c r="Q4" i="9" s="1"/>
  <c r="D31" i="9"/>
  <c r="E60" i="9"/>
  <c r="G60" i="9"/>
  <c r="F31" i="9"/>
  <c r="F60" i="9"/>
  <c r="E31" i="9"/>
  <c r="L33" i="7"/>
  <c r="J35" i="7"/>
  <c r="M34" i="7"/>
  <c r="N33" i="7"/>
  <c r="N35" i="7"/>
  <c r="J34" i="7"/>
  <c r="M33" i="7"/>
  <c r="M35" i="7"/>
  <c r="N34" i="7"/>
  <c r="J33" i="7"/>
  <c r="K33" i="7"/>
  <c r="M17" i="7"/>
  <c r="J17" i="7"/>
  <c r="C4" i="9" s="1"/>
  <c r="K17" i="7"/>
  <c r="V97" i="8"/>
  <c r="W97" i="8"/>
  <c r="K101" i="8"/>
  <c r="L101" i="8"/>
  <c r="M101" i="8"/>
  <c r="N101" i="8"/>
  <c r="J101" i="8"/>
  <c r="L92" i="8"/>
  <c r="K92" i="8"/>
  <c r="J92" i="8"/>
  <c r="G108" i="8"/>
  <c r="F108" i="8"/>
  <c r="E108" i="8"/>
  <c r="D108" i="8"/>
  <c r="C108" i="8"/>
  <c r="S94" i="8" s="1"/>
  <c r="G100" i="8"/>
  <c r="F100" i="8"/>
  <c r="E8" i="14" s="1"/>
  <c r="E100" i="8"/>
  <c r="E110" i="8" s="1"/>
  <c r="R39" i="9" s="1"/>
  <c r="R40" i="9" s="1"/>
  <c r="R41" i="9" s="1"/>
  <c r="D100" i="8"/>
  <c r="T93" i="8" s="1"/>
  <c r="C100" i="8"/>
  <c r="N70" i="8"/>
  <c r="M70" i="8"/>
  <c r="L70" i="8"/>
  <c r="K70" i="8"/>
  <c r="J70" i="8"/>
  <c r="L63" i="8"/>
  <c r="K63" i="8"/>
  <c r="J63" i="8"/>
  <c r="G84" i="8"/>
  <c r="F84" i="8"/>
  <c r="E84" i="8"/>
  <c r="D84" i="8"/>
  <c r="C84" i="8"/>
  <c r="D79" i="8"/>
  <c r="E79" i="8"/>
  <c r="F79" i="8"/>
  <c r="G79" i="8"/>
  <c r="C79" i="8"/>
  <c r="G71" i="8"/>
  <c r="D71" i="8"/>
  <c r="E71" i="8"/>
  <c r="F71" i="8"/>
  <c r="C71" i="8"/>
  <c r="D38" i="8"/>
  <c r="E38" i="8"/>
  <c r="F38" i="8"/>
  <c r="G38" i="8"/>
  <c r="D42" i="8"/>
  <c r="E42" i="8"/>
  <c r="F42" i="8"/>
  <c r="G42" i="8"/>
  <c r="D47" i="8"/>
  <c r="E47" i="8"/>
  <c r="F47" i="8"/>
  <c r="G47" i="8"/>
  <c r="C47" i="8"/>
  <c r="C42" i="8"/>
  <c r="C38" i="8"/>
  <c r="K53" i="8"/>
  <c r="L53" i="8"/>
  <c r="M53" i="8"/>
  <c r="N53" i="8"/>
  <c r="J53" i="8"/>
  <c r="K47" i="8"/>
  <c r="L47" i="8"/>
  <c r="M47" i="8"/>
  <c r="N47" i="8"/>
  <c r="J47" i="8"/>
  <c r="K40" i="8"/>
  <c r="L40" i="8"/>
  <c r="M40" i="8"/>
  <c r="N40" i="8"/>
  <c r="J40" i="8"/>
  <c r="L34" i="8"/>
  <c r="K34" i="8"/>
  <c r="J34" i="8"/>
  <c r="K24" i="8"/>
  <c r="J24" i="8"/>
  <c r="J15" i="8"/>
  <c r="C24" i="8" s="1"/>
  <c r="J7" i="8"/>
  <c r="K15" i="8"/>
  <c r="D24" i="8" s="1"/>
  <c r="K7" i="8"/>
  <c r="L24" i="8"/>
  <c r="L15" i="8"/>
  <c r="L7" i="8"/>
  <c r="E18" i="8"/>
  <c r="E11" i="8"/>
  <c r="D10" i="13" s="1"/>
  <c r="D18" i="8"/>
  <c r="C18" i="8"/>
  <c r="D11" i="8"/>
  <c r="C10" i="13" s="1"/>
  <c r="C11" i="8"/>
  <c r="J46" i="7"/>
  <c r="J55" i="7" s="1"/>
  <c r="K46" i="7"/>
  <c r="K55" i="7" s="1"/>
  <c r="L46" i="7"/>
  <c r="L55" i="7" s="1"/>
  <c r="M46" i="7"/>
  <c r="M55" i="7" s="1"/>
  <c r="C19" i="7"/>
  <c r="C11" i="7"/>
  <c r="C5" i="7"/>
  <c r="D19" i="7"/>
  <c r="D11" i="7"/>
  <c r="D5" i="7"/>
  <c r="D65" i="9" s="1"/>
  <c r="E19" i="7"/>
  <c r="E11" i="7"/>
  <c r="E15" i="7" s="1"/>
  <c r="D22" i="6"/>
  <c r="D17" i="6" s="1"/>
  <c r="D18" i="6" s="1"/>
  <c r="C22" i="6"/>
  <c r="C17" i="6" s="1"/>
  <c r="C18" i="6" s="1"/>
  <c r="D8" i="6"/>
  <c r="D13" i="6" s="1"/>
  <c r="D15" i="6" s="1"/>
  <c r="D19" i="6" s="1"/>
  <c r="D23" i="6" s="1"/>
  <c r="D26" i="6" s="1"/>
  <c r="C8" i="6"/>
  <c r="C13" i="6" s="1"/>
  <c r="C15" i="6" s="1"/>
  <c r="L17" i="6"/>
  <c r="K17" i="6"/>
  <c r="K19" i="6" s="1"/>
  <c r="H24" i="6"/>
  <c r="G24" i="6"/>
  <c r="H16" i="6"/>
  <c r="G16" i="6"/>
  <c r="L19" i="6"/>
  <c r="AM17" i="2"/>
  <c r="AN15" i="2"/>
  <c r="AN17" i="2" s="1"/>
  <c r="AM15" i="2"/>
  <c r="AI22" i="2"/>
  <c r="AH22" i="2"/>
  <c r="AI14" i="2"/>
  <c r="AI24" i="2" s="1"/>
  <c r="AH14" i="2"/>
  <c r="Y27" i="2"/>
  <c r="X27" i="2"/>
  <c r="AD13" i="2"/>
  <c r="AD15" i="2" s="1"/>
  <c r="AC13" i="2"/>
  <c r="AC15" i="2" s="1"/>
  <c r="Y22" i="2"/>
  <c r="X22" i="2"/>
  <c r="Y14" i="2"/>
  <c r="Y23" i="2" s="1"/>
  <c r="Y29" i="2" s="1"/>
  <c r="X14" i="2"/>
  <c r="X23" i="2" s="1"/>
  <c r="X29" i="2" s="1"/>
  <c r="S25" i="2"/>
  <c r="S19" i="2"/>
  <c r="S12" i="2"/>
  <c r="T25" i="2"/>
  <c r="T19" i="2"/>
  <c r="T12" i="2"/>
  <c r="I25" i="2"/>
  <c r="D19" i="2"/>
  <c r="O19" i="2"/>
  <c r="N19" i="2"/>
  <c r="O14" i="2"/>
  <c r="N14" i="2"/>
  <c r="O10" i="2"/>
  <c r="N10" i="2"/>
  <c r="J20" i="1"/>
  <c r="J15" i="1" s="1"/>
  <c r="J16" i="1" s="1"/>
  <c r="I11" i="1"/>
  <c r="I13" i="1" s="1"/>
  <c r="J6" i="1"/>
  <c r="J11" i="1" s="1"/>
  <c r="J13" i="1" s="1"/>
  <c r="I6" i="1"/>
  <c r="J48" i="1"/>
  <c r="J43" i="1" s="1"/>
  <c r="J44" i="1" s="1"/>
  <c r="I20" i="1"/>
  <c r="I15" i="1" s="1"/>
  <c r="I16" i="1" s="1"/>
  <c r="I48" i="1"/>
  <c r="I43" i="1" s="1"/>
  <c r="I44" i="1" s="1"/>
  <c r="J34" i="1"/>
  <c r="J39" i="1" s="1"/>
  <c r="I34" i="1"/>
  <c r="I39" i="1" s="1"/>
  <c r="H35" i="15" l="1"/>
  <c r="H27" i="15"/>
  <c r="H25" i="15"/>
  <c r="H23" i="15"/>
  <c r="H21" i="13"/>
  <c r="H33" i="15"/>
  <c r="H32" i="15"/>
  <c r="H28" i="15"/>
  <c r="H24" i="15"/>
  <c r="H22" i="15"/>
  <c r="F23" i="17"/>
  <c r="H23" i="17"/>
  <c r="D23" i="17"/>
  <c r="E23" i="17"/>
  <c r="G23" i="17"/>
  <c r="L17" i="7"/>
  <c r="K35" i="7"/>
  <c r="L35" i="7"/>
  <c r="J50" i="7"/>
  <c r="L34" i="7"/>
  <c r="K34" i="7"/>
  <c r="L50" i="7"/>
  <c r="K59" i="7"/>
  <c r="D4" i="9"/>
  <c r="C5" i="14"/>
  <c r="F4" i="9"/>
  <c r="E5" i="14"/>
  <c r="D13" i="13"/>
  <c r="D12" i="13"/>
  <c r="F83" i="9"/>
  <c r="F84" i="9" s="1"/>
  <c r="E75" i="9"/>
  <c r="D10" i="14"/>
  <c r="D8" i="14"/>
  <c r="K15" i="12"/>
  <c r="C51" i="9"/>
  <c r="E76" i="9"/>
  <c r="W94" i="8"/>
  <c r="F7" i="14"/>
  <c r="C75" i="9"/>
  <c r="D83" i="9"/>
  <c r="D84" i="9" s="1"/>
  <c r="C13" i="13"/>
  <c r="C12" i="13"/>
  <c r="C10" i="14"/>
  <c r="E83" i="9"/>
  <c r="E84" i="9" s="1"/>
  <c r="D75" i="9"/>
  <c r="V94" i="8"/>
  <c r="E7" i="14"/>
  <c r="F13" i="13"/>
  <c r="F12" i="13"/>
  <c r="F10" i="14"/>
  <c r="G75" i="9"/>
  <c r="G77" i="9" s="1"/>
  <c r="F100" i="9" s="1"/>
  <c r="W93" i="8"/>
  <c r="F8" i="14"/>
  <c r="L15" i="12"/>
  <c r="D51" i="9"/>
  <c r="T94" i="8"/>
  <c r="C7" i="14"/>
  <c r="S97" i="8"/>
  <c r="C76" i="9"/>
  <c r="E51" i="9"/>
  <c r="F52" i="9" s="1"/>
  <c r="F89" i="9" s="1"/>
  <c r="M15" i="12"/>
  <c r="U94" i="8"/>
  <c r="V115" i="8" s="1"/>
  <c r="D7" i="14"/>
  <c r="D76" i="9"/>
  <c r="E13" i="13"/>
  <c r="E12" i="13"/>
  <c r="E10" i="14"/>
  <c r="G83" i="9"/>
  <c r="G84" i="9" s="1"/>
  <c r="F75" i="9"/>
  <c r="F77" i="9" s="1"/>
  <c r="E100" i="9" s="1"/>
  <c r="C8" i="14"/>
  <c r="I20" i="13"/>
  <c r="H22" i="13"/>
  <c r="H26" i="13" s="1"/>
  <c r="H28" i="13" s="1"/>
  <c r="N36" i="7"/>
  <c r="O36" i="7"/>
  <c r="N59" i="7" s="1"/>
  <c r="O17" i="7"/>
  <c r="F5" i="14" s="1"/>
  <c r="O35" i="7"/>
  <c r="G69" i="9"/>
  <c r="G4" i="9"/>
  <c r="G10" i="9" s="1"/>
  <c r="I69" i="9"/>
  <c r="I71" i="9" s="1"/>
  <c r="G89" i="9"/>
  <c r="C10" i="9"/>
  <c r="C69" i="9"/>
  <c r="C71" i="9" s="1"/>
  <c r="E69" i="9"/>
  <c r="E71" i="9" s="1"/>
  <c r="L21" i="9" s="1"/>
  <c r="R38" i="9" s="1"/>
  <c r="D10" i="9"/>
  <c r="D69" i="9"/>
  <c r="D71" i="9" s="1"/>
  <c r="K21" i="9" s="1"/>
  <c r="Q38" i="9" s="1"/>
  <c r="F10" i="9"/>
  <c r="F69" i="9"/>
  <c r="F71" i="9" s="1"/>
  <c r="M21" i="9" s="1"/>
  <c r="S38" i="9" s="1"/>
  <c r="N56" i="7"/>
  <c r="N58" i="7"/>
  <c r="N57" i="7"/>
  <c r="O37" i="7"/>
  <c r="N22" i="7"/>
  <c r="N37" i="7"/>
  <c r="C49" i="8"/>
  <c r="F80" i="8"/>
  <c r="F110" i="8"/>
  <c r="E80" i="8"/>
  <c r="V95" i="8"/>
  <c r="F66" i="9"/>
  <c r="F5" i="9"/>
  <c r="T97" i="8"/>
  <c r="T99" i="8" s="1"/>
  <c r="Q5" i="9"/>
  <c r="V98" i="8"/>
  <c r="F39" i="9"/>
  <c r="F40" i="9" s="1"/>
  <c r="E26" i="9"/>
  <c r="E27" i="9" s="1"/>
  <c r="F11" i="9" s="1"/>
  <c r="G12" i="9" s="1"/>
  <c r="H12" i="9" s="1"/>
  <c r="S6" i="9"/>
  <c r="S39" i="9"/>
  <c r="S40" i="9" s="1"/>
  <c r="S41" i="9" s="1"/>
  <c r="T98" i="8"/>
  <c r="Q6" i="9"/>
  <c r="D39" i="9"/>
  <c r="D40" i="9" s="1"/>
  <c r="C26" i="9"/>
  <c r="C27" i="9" s="1"/>
  <c r="D11" i="9" s="1"/>
  <c r="E24" i="8"/>
  <c r="U97" i="8"/>
  <c r="U99" i="8" s="1"/>
  <c r="R5" i="9"/>
  <c r="U98" i="8"/>
  <c r="U118" i="8" s="1"/>
  <c r="R6" i="9"/>
  <c r="E39" i="9"/>
  <c r="E40" i="9" s="1"/>
  <c r="D26" i="9"/>
  <c r="D27" i="9" s="1"/>
  <c r="E11" i="9" s="1"/>
  <c r="F12" i="9" s="1"/>
  <c r="S98" i="8"/>
  <c r="T111" i="8" s="1"/>
  <c r="C39" i="9"/>
  <c r="C40" i="9" s="1"/>
  <c r="U95" i="8"/>
  <c r="V116" i="8" s="1"/>
  <c r="E5" i="9"/>
  <c r="E66" i="9"/>
  <c r="N103" i="8"/>
  <c r="G39" i="9"/>
  <c r="G40" i="9" s="1"/>
  <c r="F26" i="9"/>
  <c r="F27" i="9" s="1"/>
  <c r="G11" i="9" s="1"/>
  <c r="H11" i="9" s="1"/>
  <c r="T6" i="9"/>
  <c r="M58" i="7"/>
  <c r="M49" i="7"/>
  <c r="N49" i="7" s="1"/>
  <c r="K57" i="7"/>
  <c r="K48" i="7"/>
  <c r="L57" i="7"/>
  <c r="L48" i="7"/>
  <c r="J57" i="7"/>
  <c r="J48" i="7"/>
  <c r="J58" i="7"/>
  <c r="J49" i="7"/>
  <c r="M57" i="7"/>
  <c r="M48" i="7"/>
  <c r="N48" i="7" s="1"/>
  <c r="L58" i="7"/>
  <c r="L49" i="7"/>
  <c r="K58" i="7"/>
  <c r="K49" i="7"/>
  <c r="J56" i="7"/>
  <c r="J47" i="7"/>
  <c r="L56" i="7"/>
  <c r="L47" i="7"/>
  <c r="M56" i="7"/>
  <c r="M47" i="7"/>
  <c r="N47" i="7" s="1"/>
  <c r="K56" i="7"/>
  <c r="K47" i="7"/>
  <c r="L22" i="7"/>
  <c r="D16" i="14" s="1"/>
  <c r="L37" i="7"/>
  <c r="O22" i="7"/>
  <c r="K22" i="7"/>
  <c r="C16" i="14" s="1"/>
  <c r="K37" i="7"/>
  <c r="J22" i="7"/>
  <c r="J37" i="7"/>
  <c r="M22" i="7"/>
  <c r="E16" i="14" s="1"/>
  <c r="M37" i="7"/>
  <c r="K55" i="8"/>
  <c r="M55" i="8"/>
  <c r="G49" i="8"/>
  <c r="D80" i="8"/>
  <c r="W98" i="8"/>
  <c r="L55" i="8"/>
  <c r="C80" i="8"/>
  <c r="G80" i="8"/>
  <c r="W99" i="8"/>
  <c r="D49" i="8"/>
  <c r="M103" i="8"/>
  <c r="U110" i="8"/>
  <c r="T115" i="8"/>
  <c r="T108" i="8"/>
  <c r="U115" i="8"/>
  <c r="T117" i="8"/>
  <c r="W115" i="8"/>
  <c r="W108" i="8"/>
  <c r="T118" i="8"/>
  <c r="D20" i="8"/>
  <c r="F49" i="8"/>
  <c r="D110" i="8"/>
  <c r="L103" i="8"/>
  <c r="V93" i="8"/>
  <c r="W114" i="8" s="1"/>
  <c r="W107" i="8"/>
  <c r="W110" i="8"/>
  <c r="W117" i="8"/>
  <c r="E49" i="8"/>
  <c r="J103" i="8"/>
  <c r="K103" i="8"/>
  <c r="U93" i="8"/>
  <c r="J55" i="8"/>
  <c r="N55" i="8"/>
  <c r="C110" i="8"/>
  <c r="G110" i="8"/>
  <c r="S93" i="8"/>
  <c r="T114" i="8" s="1"/>
  <c r="K26" i="8"/>
  <c r="L16" i="12" s="1"/>
  <c r="E20" i="8"/>
  <c r="J26" i="8"/>
  <c r="K16" i="12" s="1"/>
  <c r="L26" i="8"/>
  <c r="M16" i="12" s="1"/>
  <c r="C20" i="8"/>
  <c r="C15" i="7"/>
  <c r="C21" i="7" s="1"/>
  <c r="C24" i="7" s="1"/>
  <c r="E21" i="7"/>
  <c r="E24" i="7" s="1"/>
  <c r="D15" i="7"/>
  <c r="D21" i="7" s="1"/>
  <c r="D24" i="7" s="1"/>
  <c r="J17" i="1"/>
  <c r="J21" i="1" s="1"/>
  <c r="J24" i="1" s="1"/>
  <c r="C19" i="6"/>
  <c r="C23" i="6" s="1"/>
  <c r="C26" i="6" s="1"/>
  <c r="H26" i="6"/>
  <c r="G26" i="6"/>
  <c r="AH24" i="2"/>
  <c r="T27" i="2"/>
  <c r="I17" i="1"/>
  <c r="I21" i="1" s="1"/>
  <c r="I24" i="1" s="1"/>
  <c r="N21" i="2"/>
  <c r="O21" i="2"/>
  <c r="S27" i="2"/>
  <c r="I41" i="1"/>
  <c r="I45" i="1" s="1"/>
  <c r="I49" i="1" s="1"/>
  <c r="I52" i="1" s="1"/>
  <c r="J41" i="1"/>
  <c r="J45" i="1" s="1"/>
  <c r="J49" i="1" s="1"/>
  <c r="J52" i="1" s="1"/>
  <c r="E52" i="9" l="1"/>
  <c r="E89" i="9" s="1"/>
  <c r="H39" i="15"/>
  <c r="G7" i="14" s="1"/>
  <c r="H31" i="15"/>
  <c r="H41" i="15" s="1"/>
  <c r="I21" i="13"/>
  <c r="I25" i="15"/>
  <c r="I32" i="15"/>
  <c r="I28" i="15"/>
  <c r="I24" i="15"/>
  <c r="I22" i="15"/>
  <c r="I27" i="15"/>
  <c r="I33" i="15"/>
  <c r="I35" i="15"/>
  <c r="I23" i="15"/>
  <c r="G8" i="14"/>
  <c r="C77" i="9"/>
  <c r="J59" i="9"/>
  <c r="E95" i="9"/>
  <c r="E101" i="9"/>
  <c r="D9" i="14"/>
  <c r="D25" i="14" s="1"/>
  <c r="C9" i="14"/>
  <c r="O38" i="7"/>
  <c r="F16" i="14"/>
  <c r="E9" i="14"/>
  <c r="E25" i="14" s="1"/>
  <c r="E4" i="9"/>
  <c r="E10" i="9" s="1"/>
  <c r="D5" i="14"/>
  <c r="C95" i="9"/>
  <c r="C101" i="9"/>
  <c r="D101" i="9"/>
  <c r="D95" i="9"/>
  <c r="F95" i="9"/>
  <c r="F101" i="9"/>
  <c r="E77" i="9"/>
  <c r="D100" i="9" s="1"/>
  <c r="V110" i="8"/>
  <c r="T110" i="8"/>
  <c r="U117" i="8"/>
  <c r="S99" i="8"/>
  <c r="M17" i="12"/>
  <c r="L17" i="12"/>
  <c r="V117" i="8"/>
  <c r="V108" i="8"/>
  <c r="F9" i="14"/>
  <c r="D52" i="9"/>
  <c r="D89" i="9" s="1"/>
  <c r="V118" i="8"/>
  <c r="U108" i="8"/>
  <c r="W118" i="8"/>
  <c r="D77" i="9"/>
  <c r="C100" i="9" s="1"/>
  <c r="K17" i="12"/>
  <c r="H29" i="13"/>
  <c r="H31" i="13" s="1"/>
  <c r="H32" i="13" s="1"/>
  <c r="G5" i="14" s="1"/>
  <c r="I22" i="13"/>
  <c r="I26" i="13" s="1"/>
  <c r="I28" i="13" s="1"/>
  <c r="J20" i="13"/>
  <c r="H4" i="9"/>
  <c r="H10" i="9" s="1"/>
  <c r="M50" i="7"/>
  <c r="N50" i="7" s="1"/>
  <c r="M59" i="7"/>
  <c r="E27" i="7"/>
  <c r="M9" i="12"/>
  <c r="M10" i="12" s="1"/>
  <c r="H50" i="9"/>
  <c r="C27" i="7"/>
  <c r="K9" i="12"/>
  <c r="K10" i="12" s="1"/>
  <c r="D27" i="7"/>
  <c r="L9" i="12"/>
  <c r="L10" i="12" s="1"/>
  <c r="C50" i="9"/>
  <c r="F50" i="9"/>
  <c r="F56" i="9" s="1"/>
  <c r="D50" i="9"/>
  <c r="D56" i="9" s="1"/>
  <c r="N51" i="7"/>
  <c r="N60" i="7"/>
  <c r="G71" i="9"/>
  <c r="N21" i="9" s="1"/>
  <c r="T38" i="9" s="1"/>
  <c r="G50" i="9"/>
  <c r="N25" i="7"/>
  <c r="N39" i="7" s="1"/>
  <c r="N38" i="7"/>
  <c r="F67" i="9"/>
  <c r="M51" i="9"/>
  <c r="E67" i="9"/>
  <c r="L51" i="9"/>
  <c r="F13" i="9"/>
  <c r="F14" i="9" s="1"/>
  <c r="M23" i="9" s="1"/>
  <c r="W111" i="8"/>
  <c r="V111" i="8"/>
  <c r="T95" i="8"/>
  <c r="U116" i="8" s="1"/>
  <c r="D66" i="9"/>
  <c r="D5" i="9"/>
  <c r="E6" i="9" s="1"/>
  <c r="Q39" i="9"/>
  <c r="Q40" i="9" s="1"/>
  <c r="Q41" i="9" s="1"/>
  <c r="C30" i="9"/>
  <c r="C32" i="9" s="1"/>
  <c r="K6" i="9"/>
  <c r="V99" i="8"/>
  <c r="V109" i="8"/>
  <c r="U111" i="8"/>
  <c r="D30" i="9"/>
  <c r="D32" i="9" s="1"/>
  <c r="L6" i="9"/>
  <c r="S95" i="8"/>
  <c r="C5" i="9"/>
  <c r="F6" i="9"/>
  <c r="F7" i="9" s="1"/>
  <c r="E7" i="9"/>
  <c r="D13" i="9"/>
  <c r="D14" i="9" s="1"/>
  <c r="K23" i="9" s="1"/>
  <c r="E12" i="9"/>
  <c r="E13" i="9" s="1"/>
  <c r="E14" i="9" s="1"/>
  <c r="L23" i="9" s="1"/>
  <c r="E30" i="9"/>
  <c r="E32" i="9" s="1"/>
  <c r="F59" i="9" s="1"/>
  <c r="M6" i="9"/>
  <c r="G6" i="9"/>
  <c r="H6" i="9" s="1"/>
  <c r="F30" i="9"/>
  <c r="F32" i="9" s="1"/>
  <c r="N6" i="9"/>
  <c r="W95" i="8"/>
  <c r="W116" i="8" s="1"/>
  <c r="G5" i="9"/>
  <c r="H5" i="9" s="1"/>
  <c r="G66" i="9"/>
  <c r="T39" i="9"/>
  <c r="T40" i="9" s="1"/>
  <c r="T41" i="9" s="1"/>
  <c r="G13" i="9"/>
  <c r="J60" i="7"/>
  <c r="J51" i="7"/>
  <c r="L60" i="7"/>
  <c r="L51" i="7"/>
  <c r="K60" i="7"/>
  <c r="K51" i="7"/>
  <c r="M60" i="7"/>
  <c r="M51" i="7"/>
  <c r="J25" i="7"/>
  <c r="J39" i="7" s="1"/>
  <c r="J38" i="7"/>
  <c r="O25" i="7"/>
  <c r="O39" i="7" s="1"/>
  <c r="M25" i="7"/>
  <c r="M39" i="7" s="1"/>
  <c r="M38" i="7"/>
  <c r="N52" i="7" s="1"/>
  <c r="K25" i="7"/>
  <c r="K39" i="7" s="1"/>
  <c r="K38" i="7"/>
  <c r="L25" i="7"/>
  <c r="L39" i="7" s="1"/>
  <c r="L38" i="7"/>
  <c r="T107" i="8"/>
  <c r="V114" i="8"/>
  <c r="V107" i="8"/>
  <c r="U114" i="8"/>
  <c r="U107" i="8"/>
  <c r="E50" i="9" l="1"/>
  <c r="E56" i="9" s="1"/>
  <c r="D55" i="17"/>
  <c r="H57" i="15"/>
  <c r="G10" i="14" s="1"/>
  <c r="G15" i="14" s="1"/>
  <c r="H59" i="15"/>
  <c r="I39" i="15"/>
  <c r="H7" i="14" s="1"/>
  <c r="G9" i="14"/>
  <c r="D42" i="17" s="1"/>
  <c r="D46" i="17" s="1"/>
  <c r="D56" i="17"/>
  <c r="I31" i="15"/>
  <c r="G101" i="9"/>
  <c r="G100" i="9"/>
  <c r="C25" i="14"/>
  <c r="C15" i="14"/>
  <c r="E15" i="14"/>
  <c r="E26" i="14" s="1"/>
  <c r="D15" i="14"/>
  <c r="D26" i="14" s="1"/>
  <c r="G14" i="9"/>
  <c r="N23" i="9" s="1"/>
  <c r="H13" i="9"/>
  <c r="H14" i="9" s="1"/>
  <c r="I77" i="9"/>
  <c r="F25" i="14"/>
  <c r="F15" i="14"/>
  <c r="J33" i="15"/>
  <c r="J25" i="15"/>
  <c r="J28" i="15"/>
  <c r="J21" i="13"/>
  <c r="J22" i="13" s="1"/>
  <c r="J26" i="13" s="1"/>
  <c r="J28" i="13" s="1"/>
  <c r="J24" i="15"/>
  <c r="J27" i="15"/>
  <c r="J23" i="15"/>
  <c r="J22" i="15"/>
  <c r="J32" i="15"/>
  <c r="J35" i="15"/>
  <c r="G25" i="14"/>
  <c r="I29" i="13"/>
  <c r="I31" i="13" s="1"/>
  <c r="I32" i="13" s="1"/>
  <c r="K20" i="13"/>
  <c r="H37" i="13"/>
  <c r="H55" i="9"/>
  <c r="H56" i="9"/>
  <c r="G56" i="9"/>
  <c r="J58" i="9"/>
  <c r="N61" i="7"/>
  <c r="N53" i="7"/>
  <c r="N62" i="7"/>
  <c r="D67" i="9"/>
  <c r="K51" i="9"/>
  <c r="G67" i="9"/>
  <c r="N51" i="9"/>
  <c r="F44" i="9"/>
  <c r="W109" i="8"/>
  <c r="N24" i="9"/>
  <c r="N5" i="9"/>
  <c r="G44" i="9"/>
  <c r="C57" i="17" s="1"/>
  <c r="G59" i="9"/>
  <c r="N18" i="9"/>
  <c r="L24" i="9"/>
  <c r="L18" i="9"/>
  <c r="L5" i="9"/>
  <c r="E59" i="9"/>
  <c r="E44" i="9"/>
  <c r="U109" i="8"/>
  <c r="T109" i="8"/>
  <c r="E45" i="9"/>
  <c r="E8" i="9"/>
  <c r="T116" i="8"/>
  <c r="M18" i="9"/>
  <c r="M24" i="9"/>
  <c r="M5" i="9"/>
  <c r="G7" i="9"/>
  <c r="H7" i="9" s="1"/>
  <c r="H8" i="9" s="1"/>
  <c r="F45" i="9"/>
  <c r="F8" i="9"/>
  <c r="D6" i="9"/>
  <c r="D7" i="9" s="1"/>
  <c r="K24" i="9"/>
  <c r="K25" i="9" s="1"/>
  <c r="D59" i="9"/>
  <c r="K5" i="9"/>
  <c r="D44" i="9"/>
  <c r="K18" i="9"/>
  <c r="J62" i="7"/>
  <c r="J53" i="7"/>
  <c r="K61" i="7"/>
  <c r="K52" i="7"/>
  <c r="K62" i="7"/>
  <c r="K53" i="7"/>
  <c r="M62" i="7"/>
  <c r="M53" i="7"/>
  <c r="L61" i="7"/>
  <c r="L52" i="7"/>
  <c r="L62" i="7"/>
  <c r="L53" i="7"/>
  <c r="J61" i="7"/>
  <c r="J52" i="7"/>
  <c r="M61" i="7"/>
  <c r="M52" i="7"/>
  <c r="G55" i="9"/>
  <c r="F14" i="12" s="1"/>
  <c r="E17" i="14" l="1"/>
  <c r="E20" i="14" s="1"/>
  <c r="H48" i="15"/>
  <c r="D19" i="17" s="1"/>
  <c r="H8" i="14"/>
  <c r="I41" i="15"/>
  <c r="G16" i="14"/>
  <c r="D20" i="17"/>
  <c r="D22" i="17" s="1"/>
  <c r="D25" i="17" s="1"/>
  <c r="C26" i="14"/>
  <c r="C17" i="14"/>
  <c r="C20" i="14" s="1"/>
  <c r="D17" i="14"/>
  <c r="F26" i="14"/>
  <c r="F17" i="14"/>
  <c r="F20" i="14" s="1"/>
  <c r="H58" i="17"/>
  <c r="G58" i="17"/>
  <c r="E58" i="17"/>
  <c r="F58" i="17"/>
  <c r="D58" i="17"/>
  <c r="D59" i="17"/>
  <c r="G26" i="14"/>
  <c r="D5" i="17"/>
  <c r="D9" i="17" s="1"/>
  <c r="J39" i="15"/>
  <c r="I7" i="14" s="1"/>
  <c r="K35" i="15"/>
  <c r="K28" i="15"/>
  <c r="K22" i="15"/>
  <c r="K24" i="15"/>
  <c r="K33" i="15"/>
  <c r="K25" i="15"/>
  <c r="K27" i="15"/>
  <c r="K21" i="13"/>
  <c r="K22" i="13" s="1"/>
  <c r="K26" i="13" s="1"/>
  <c r="K28" i="13" s="1"/>
  <c r="K29" i="13" s="1"/>
  <c r="K31" i="13" s="1"/>
  <c r="K32" i="13" s="1"/>
  <c r="K32" i="15"/>
  <c r="K39" i="15" s="1"/>
  <c r="K23" i="15"/>
  <c r="J31" i="15"/>
  <c r="I37" i="13"/>
  <c r="H5" i="14"/>
  <c r="E21" i="14"/>
  <c r="F21" i="14"/>
  <c r="G19" i="14" s="1"/>
  <c r="C21" i="14"/>
  <c r="D20" i="14"/>
  <c r="L20" i="13"/>
  <c r="J29" i="13"/>
  <c r="J31" i="13" s="1"/>
  <c r="J32" i="13" s="1"/>
  <c r="F16" i="12"/>
  <c r="S28" i="9"/>
  <c r="M50" i="9"/>
  <c r="T28" i="9"/>
  <c r="N50" i="9"/>
  <c r="Q28" i="9"/>
  <c r="K50" i="9"/>
  <c r="R28" i="9"/>
  <c r="L50" i="9"/>
  <c r="G61" i="9"/>
  <c r="G87" i="9"/>
  <c r="G90" i="9" s="1"/>
  <c r="F102" i="9" s="1"/>
  <c r="K26" i="9"/>
  <c r="K52" i="9" s="1"/>
  <c r="D45" i="9"/>
  <c r="D8" i="9"/>
  <c r="M4" i="9"/>
  <c r="M17" i="9"/>
  <c r="M49" i="9" s="1"/>
  <c r="F62" i="9"/>
  <c r="E94" i="9" s="1"/>
  <c r="E96" i="9" s="1"/>
  <c r="E104" i="9" s="1"/>
  <c r="F43" i="9"/>
  <c r="F46" i="9" s="1"/>
  <c r="M19" i="9" s="1"/>
  <c r="S30" i="9" s="1"/>
  <c r="M25" i="9"/>
  <c r="M26" i="9"/>
  <c r="M52" i="9" s="1"/>
  <c r="L17" i="9"/>
  <c r="L49" i="9" s="1"/>
  <c r="E43" i="9"/>
  <c r="E46" i="9" s="1"/>
  <c r="E62" i="9"/>
  <c r="D94" i="9" s="1"/>
  <c r="D96" i="9" s="1"/>
  <c r="D104" i="9" s="1"/>
  <c r="L4" i="9"/>
  <c r="L26" i="9"/>
  <c r="L52" i="9" s="1"/>
  <c r="L25" i="9"/>
  <c r="G45" i="9"/>
  <c r="G8" i="9"/>
  <c r="N26" i="9"/>
  <c r="N52" i="9" s="1"/>
  <c r="N25" i="9"/>
  <c r="D55" i="9"/>
  <c r="C14" i="12" s="1"/>
  <c r="C16" i="12" s="1"/>
  <c r="E55" i="9"/>
  <c r="D14" i="12" s="1"/>
  <c r="D16" i="12" s="1"/>
  <c r="F55" i="9"/>
  <c r="E14" i="12" s="1"/>
  <c r="E16" i="12" s="1"/>
  <c r="E55" i="17" l="1"/>
  <c r="I59" i="15"/>
  <c r="I57" i="15"/>
  <c r="H10" i="14" s="1"/>
  <c r="H9" i="14"/>
  <c r="E42" i="17" s="1"/>
  <c r="E46" i="17" s="1"/>
  <c r="E56" i="17"/>
  <c r="E59" i="17" s="1"/>
  <c r="E61" i="17" s="1"/>
  <c r="E20" i="17"/>
  <c r="E22" i="17" s="1"/>
  <c r="D61" i="17"/>
  <c r="J7" i="14"/>
  <c r="L32" i="15"/>
  <c r="L27" i="15"/>
  <c r="L23" i="15"/>
  <c r="L33" i="15"/>
  <c r="L35" i="15"/>
  <c r="L28" i="15"/>
  <c r="L22" i="15"/>
  <c r="L25" i="15"/>
  <c r="L21" i="13"/>
  <c r="L22" i="13" s="1"/>
  <c r="L26" i="13" s="1"/>
  <c r="L28" i="13" s="1"/>
  <c r="L29" i="13" s="1"/>
  <c r="L31" i="13" s="1"/>
  <c r="L32" i="13" s="1"/>
  <c r="L24" i="15"/>
  <c r="I8" i="14"/>
  <c r="J41" i="15"/>
  <c r="F55" i="17" s="1"/>
  <c r="K31" i="15"/>
  <c r="K37" i="13"/>
  <c r="G20" i="17" s="1"/>
  <c r="J5" i="14"/>
  <c r="G56" i="17" s="1"/>
  <c r="J37" i="13"/>
  <c r="F20" i="17" s="1"/>
  <c r="I5" i="14"/>
  <c r="F56" i="17" s="1"/>
  <c r="F59" i="17" s="1"/>
  <c r="F61" i="17" s="1"/>
  <c r="G21" i="14"/>
  <c r="H19" i="14"/>
  <c r="D21" i="14"/>
  <c r="N53" i="9"/>
  <c r="M53" i="9"/>
  <c r="L53" i="9"/>
  <c r="E61" i="9"/>
  <c r="E87" i="9"/>
  <c r="E90" i="9" s="1"/>
  <c r="D102" i="9" s="1"/>
  <c r="D61" i="9"/>
  <c r="D87" i="9"/>
  <c r="D90" i="9" s="1"/>
  <c r="C102" i="9" s="1"/>
  <c r="F61" i="9"/>
  <c r="F87" i="9"/>
  <c r="F90" i="9" s="1"/>
  <c r="F47" i="9"/>
  <c r="N17" i="9"/>
  <c r="N49" i="9" s="1"/>
  <c r="G62" i="9"/>
  <c r="F94" i="9" s="1"/>
  <c r="F96" i="9" s="1"/>
  <c r="F104" i="9" s="1"/>
  <c r="N4" i="9"/>
  <c r="G43" i="9"/>
  <c r="G46" i="9" s="1"/>
  <c r="S27" i="9"/>
  <c r="S37" i="9" s="1"/>
  <c r="M20" i="9"/>
  <c r="S29" i="9" s="1"/>
  <c r="D43" i="9"/>
  <c r="D46" i="9" s="1"/>
  <c r="K17" i="9"/>
  <c r="K49" i="9" s="1"/>
  <c r="D62" i="9"/>
  <c r="C94" i="9" s="1"/>
  <c r="C96" i="9" s="1"/>
  <c r="C104" i="9" s="1"/>
  <c r="K4" i="9"/>
  <c r="E47" i="9"/>
  <c r="L19" i="9"/>
  <c r="R30" i="9" s="1"/>
  <c r="R27" i="9"/>
  <c r="R37" i="9" s="1"/>
  <c r="L20" i="9"/>
  <c r="R29" i="9" s="1"/>
  <c r="E25" i="17" l="1"/>
  <c r="K10" i="17"/>
  <c r="H25" i="14"/>
  <c r="I48" i="15"/>
  <c r="H15" i="14"/>
  <c r="H26" i="14" s="1"/>
  <c r="G59" i="17"/>
  <c r="G61" i="17" s="1"/>
  <c r="L31" i="15"/>
  <c r="K8" i="14" s="1"/>
  <c r="L37" i="13"/>
  <c r="H20" i="17" s="1"/>
  <c r="K5" i="14"/>
  <c r="H56" i="17" s="1"/>
  <c r="I9" i="14"/>
  <c r="F42" i="17" s="1"/>
  <c r="F46" i="17" s="1"/>
  <c r="K41" i="15"/>
  <c r="G55" i="17" s="1"/>
  <c r="J8" i="14"/>
  <c r="J9" i="14" s="1"/>
  <c r="G42" i="17" s="1"/>
  <c r="G46" i="17" s="1"/>
  <c r="L39" i="15"/>
  <c r="K7" i="14" s="1"/>
  <c r="J59" i="15"/>
  <c r="J57" i="15"/>
  <c r="I10" i="14" s="1"/>
  <c r="I15" i="14" s="1"/>
  <c r="F5" i="17" s="1"/>
  <c r="H21" i="14"/>
  <c r="I19" i="14"/>
  <c r="G104" i="9"/>
  <c r="F91" i="9"/>
  <c r="E103" i="9" s="1"/>
  <c r="E102" i="9"/>
  <c r="G102" i="9" s="1"/>
  <c r="E91" i="9"/>
  <c r="D103" i="9" s="1"/>
  <c r="G91" i="9"/>
  <c r="F103" i="9" s="1"/>
  <c r="Q27" i="9"/>
  <c r="Q37" i="9" s="1"/>
  <c r="K20" i="9"/>
  <c r="Q29" i="9" s="1"/>
  <c r="D47" i="9"/>
  <c r="K19" i="9"/>
  <c r="Q30" i="9" s="1"/>
  <c r="G47" i="9"/>
  <c r="N19" i="9"/>
  <c r="T30" i="9" s="1"/>
  <c r="T27" i="9"/>
  <c r="T37" i="9" s="1"/>
  <c r="N20" i="9"/>
  <c r="T29" i="9" s="1"/>
  <c r="E5" i="17" l="1"/>
  <c r="E9" i="17" s="1"/>
  <c r="H59" i="17"/>
  <c r="E19" i="17"/>
  <c r="F22" i="17" s="1"/>
  <c r="H16" i="14"/>
  <c r="I25" i="14"/>
  <c r="F9" i="17"/>
  <c r="K5" i="17"/>
  <c r="J25" i="14"/>
  <c r="J48" i="15"/>
  <c r="F19" i="17" s="1"/>
  <c r="G22" i="17" s="1"/>
  <c r="L41" i="15"/>
  <c r="H55" i="17" s="1"/>
  <c r="K57" i="15"/>
  <c r="J10" i="14" s="1"/>
  <c r="J15" i="14" s="1"/>
  <c r="K59" i="15"/>
  <c r="K9" i="14"/>
  <c r="H42" i="17" s="1"/>
  <c r="I26" i="14"/>
  <c r="J19" i="14"/>
  <c r="I21" i="14"/>
  <c r="G103" i="9"/>
  <c r="J5" i="17" l="1"/>
  <c r="H47" i="17"/>
  <c r="H46" i="17"/>
  <c r="F25" i="17"/>
  <c r="L10" i="17"/>
  <c r="H62" i="17"/>
  <c r="C63" i="17" s="1"/>
  <c r="C65" i="17" s="1"/>
  <c r="C67" i="17" s="1"/>
  <c r="H61" i="17"/>
  <c r="G25" i="17"/>
  <c r="M10" i="17"/>
  <c r="J26" i="14"/>
  <c r="G5" i="17"/>
  <c r="K48" i="15"/>
  <c r="G19" i="17" s="1"/>
  <c r="H22" i="17" s="1"/>
  <c r="N10" i="17" s="1"/>
  <c r="K25" i="14"/>
  <c r="L59" i="15"/>
  <c r="L57" i="15"/>
  <c r="K10" i="14" s="1"/>
  <c r="K15" i="14" s="1"/>
  <c r="H5" i="17" s="1"/>
  <c r="I16" i="14"/>
  <c r="I17" i="14" s="1"/>
  <c r="K19" i="14"/>
  <c r="K21" i="14" s="1"/>
  <c r="J21" i="14"/>
  <c r="M5" i="17" l="1"/>
  <c r="C48" i="17"/>
  <c r="C50" i="17" s="1"/>
  <c r="C52" i="17" s="1"/>
  <c r="G9" i="17"/>
  <c r="L5" i="17"/>
  <c r="H25" i="17"/>
  <c r="H26" i="17"/>
  <c r="H10" i="17"/>
  <c r="H9" i="17"/>
  <c r="J16" i="14"/>
  <c r="J17" i="14" s="1"/>
  <c r="K26" i="14"/>
  <c r="L48" i="15"/>
  <c r="C11" i="17" l="1"/>
  <c r="C30" i="17" s="1"/>
  <c r="C27" i="17"/>
  <c r="C31" i="17" s="1"/>
  <c r="E31" i="17" s="1"/>
  <c r="K16" i="14"/>
  <c r="K17" i="14" s="1"/>
  <c r="H19" i="17"/>
  <c r="C82" i="17" l="1"/>
  <c r="C33" i="17"/>
  <c r="E30" i="17"/>
  <c r="E33" i="17" l="1"/>
  <c r="L31" i="17" s="1"/>
  <c r="L30"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tc={4F42A439-A900-9645-969C-EF52AEFB93A5}</author>
    <author>tc={85BEA98B-4FD8-3845-AF9A-72CC339328AF}</author>
  </authors>
  <commentList>
    <comment ref="I48" authorId="0" shapeId="0" xr:uid="{4F42A439-A900-9645-969C-EF52AEFB93A5}">
      <text>
        <t>[Threaded comment]
Your version of Excel allows you to read this threaded comment; however, any edits to it will get removed if the file is opened in a newer version of Excel. Learn more: https://go.microsoft.com/fwlink/?linkid=870924
Comment:
    effective tax rate = 7,9%</t>
      </text>
    </comment>
    <comment ref="J48" authorId="1" shapeId="0" xr:uid="{85BEA98B-4FD8-3845-AF9A-72CC339328AF}">
      <text>
        <t>[Threaded comment]
Your version of Excel allows you to read this threaded comment; however, any edits to it will get removed if the file is opened in a newer version of Excel. Learn more: https://go.microsoft.com/fwlink/?linkid=870924
Comment:
    Effective tax rate = 23,4%</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tc={C62458F5-AC14-A543-8504-B6CF7779D6E9}</author>
    <author>tc={C00A547F-3563-914A-8D2F-B0E984299C98}</author>
    <author>tc={19328EE9-1B1F-C143-B3E5-A0FF2738DE7A}</author>
    <author>tc={5177DD13-9552-8540-A383-2A86ACD33C9F}</author>
    <author>tc={3197451A-F01C-5345-BB93-13C18D141BD5}</author>
    <author>tc={43295D16-1856-574A-9B43-AF3C575C8FBD}</author>
    <author>tc={2EE3683A-24C0-3F4E-AED8-FB6668AFDC4F}</author>
    <author>tc={7162F621-F7B9-A24C-8B85-8C9B38C840C7}</author>
  </authors>
  <commentList>
    <comment ref="J5" authorId="0" shapeId="0" xr:uid="{C62458F5-AC14-A543-8504-B6CF7779D6E9}">
      <text>
        <t>[Threaded comment]
Your version of Excel allows you to read this threaded comment; however, any edits to it will get removed if the file is opened in a newer version of Excel. Learn more: https://go.microsoft.com/fwlink/?linkid=870924
Comment:
    Grunnen til at wacc er så høy i 2019 er fordi selvaag betalte ned gjeld som gjør at gjeldskostnaden blir mye høyere ettersom at rentekostnaden blir delt på et mye mindre beløp (rentekost/NIBD)</t>
      </text>
    </comment>
    <comment ref="C8" authorId="1" shapeId="0" xr:uid="{C00A547F-3563-914A-8D2F-B0E984299C98}">
      <text>
        <t>[Threaded comment]
Your version of Excel allows you to read this threaded comment; however, any edits to it will get removed if the file is opened in a newer version of Excel. Learn more: https://go.microsoft.com/fwlink/?linkid=870924
Comment:
    for 2016 har jeg brukt NOPAT/NOA i samme år istedenfor gjennomsnittet bare for å vise den visuelle sammenhengen</t>
      </text>
    </comment>
    <comment ref="B40" authorId="2" shapeId="0" xr:uid="{19328EE9-1B1F-C143-B3E5-A0FF2738DE7A}">
      <text>
        <t>[Threaded comment]
Your version of Excel allows you to read this threaded comment; however, any edits to it will get removed if the file is opened in a newer version of Excel. Learn more: https://go.microsoft.com/fwlink/?linkid=870924
Comment:
    rentekostnad/NIBD</t>
      </text>
    </comment>
    <comment ref="B46" authorId="3" shapeId="0" xr:uid="{5177DD13-9552-8540-A383-2A86ACD33C9F}">
      <text>
        <t>[Threaded comment]
Your version of Excel allows you to read this threaded comment; however, any edits to it will get removed if the file is opened in a newer version of Excel. Learn more: https://go.microsoft.com/fwlink/?linkid=870924
Comment:
    EVA forteller oss hvor stor avkastning aksjonærene får utover avkastningskravet (investorenes forventede avkastning). Som vi ser har Selvaag ødelagt verdier for aksjonærer i 2019 og 2020</t>
      </text>
    </comment>
    <comment ref="B77" authorId="4" shapeId="0" xr:uid="{3197451A-F01C-5345-BB93-13C18D141BD5}">
      <text>
        <t>[Threaded comment]
Your version of Excel allows you to read this threaded comment; however, any edits to it will get removed if the file is opened in a newer version of Excel. Learn more: https://go.microsoft.com/fwlink/?linkid=870924
Comment:
    Finansiell leverage = NIBD / BVE
Ser at rundt 50% av egenkapitalen er finansiert med gjeld</t>
      </text>
    </comment>
    <comment ref="B84" authorId="5" shapeId="0" xr:uid="{43295D16-1856-574A-9B43-AF3C575C8FBD}">
      <text>
        <t>[Threaded comment]
Your version of Excel allows you to read this threaded comment; however, any edits to it will get removed if the file is opened in a newer version of Excel. Learn more: https://go.microsoft.com/fwlink/?linkid=870924
Comment:
    NBC after ta = (finansielle kostnader - finansielle inntekter - skatteskjold) / NIBD</t>
      </text>
    </comment>
    <comment ref="B90" authorId="6" shapeId="0" xr:uid="{2EE3683A-24C0-3F4E-AED8-FB6668AFDC4F}">
      <text>
        <t>[Threaded comment]
Your version of Excel allows you to read this threaded comment; however, any edits to it will get removed if the file is opened in a newer version of Excel. Learn more: https://go.microsoft.com/fwlink/?linkid=870924
Comment:
    RI = (ROE - re) * BVE
Ved å ta faktisk avkastning på investert kapital minus aksjonærenes avkastningskrav og ganger det med gjennomsnittlig bokverdi av egenkapitalen finner vi den ekstra verdiskapningen til aksjonærene</t>
      </text>
    </comment>
    <comment ref="B96" authorId="7" shapeId="0" xr:uid="{7162F621-F7B9-A24C-8B85-8C9B38C840C7}">
      <text>
        <t>[Threaded comment]
Your version of Excel allows you to read this threaded comment; however, any edits to it will get removed if the file is opened in a newer version of Excel. Learn more: https://go.microsoft.com/fwlink/?linkid=870924
Comment:
    Som vi ser er rentemarginen positiv fra 2016-2019 som vil si at en økning i leverage vil gi en økning i ROIC. I 2020 derimot er det en ganske kraftig nedgang i rentemarginen som tilsier at en økning i leverange vil gi en reduksjon i ROIC.</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tc={4F7E24AA-8E59-AC4A-914F-D099CCBA74DB}</author>
    <author>tc={457B3426-5124-2542-B59F-CCCA1C21DE11}</author>
    <author>tc={A965C3E7-1515-EB4B-B445-881D5FA33BD8}</author>
  </authors>
  <commentList>
    <comment ref="B6" authorId="0" shapeId="0" xr:uid="{4F7E24AA-8E59-AC4A-914F-D099CCBA74DB}">
      <text>
        <t>[Threaded comment]
Your version of Excel allows you to read this threaded comment; however, any edits to it will get removed if the file is opened in a newer version of Excel. Learn more: https://go.microsoft.com/fwlink/?linkid=870924
Comment:
    EPS = (Profit-Dividends) / number of shares outstanding
Forteller oss om selskapets lønnsomhet og  hvor mye du som investor får av resultatet. Viser profitten som prosent av antall utestående aksjer.</t>
      </text>
    </comment>
    <comment ref="B11" authorId="1" shapeId="0" xr:uid="{457B3426-5124-2542-B59F-CCCA1C21DE11}">
      <text>
        <t>[Threaded comment]
Your version of Excel allows you to read this threaded comment; however, any edits to it will get removed if the file is opened in a newer version of Excel. Learn more: https://go.microsoft.com/fwlink/?linkid=870924
Comment:
    Dividend payout ratio = Dividend per share / EPS</t>
      </text>
    </comment>
    <comment ref="B31" authorId="2" shapeId="0" xr:uid="{A965C3E7-1515-EB4B-B445-881D5FA33BD8}">
      <text>
        <t>[Threaded comment]
Your version of Excel allows you to read this threaded comment; however, any edits to it will get removed if the file is opened in a newer version of Excel. Learn more: https://go.microsoft.com/fwlink/?linkid=870924
Comment:
    P/E = Aksjepris / EPS
tallfester investeringsviljen til investorer for aksjen relativt til selskapets inntekter. For investoren vil det bety at han/hun betaler “P/E” antall kroner per 1 krone i inntjening. P/E er nyttig når man skal sammenligne selskaper innenfor samme sektor</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tc={0F5FA735-A9DA-594F-93BF-2E440F3DEE60}</author>
    <author>tc={E1AB9684-F875-DB47-8931-A6E48DD08130}</author>
  </authors>
  <commentList>
    <comment ref="F10" authorId="0" shapeId="0" xr:uid="{0F5FA735-A9DA-594F-93BF-2E440F3DEE60}">
      <text>
        <t>[Threaded comment]
Your version of Excel allows you to read this threaded comment; however, any edits to it will get removed if the file is opened in a newer version of Excel. Learn more: https://go.microsoft.com/fwlink/?linkid=870924
Comment:
    Velger å angi som en operasjonell post ettersom at investering
 felleskontrollerte- og tilknyttede selskaper er datterselskaper av Selvaag og er kritisk for å opprettholde driften</t>
      </text>
    </comment>
    <comment ref="J13" authorId="1" shapeId="0" xr:uid="{E1AB9684-F875-DB47-8931-A6E48DD08130}">
      <text>
        <t>[Threaded comment]
Your version of Excel allows you to read this threaded comment; however, any edits to it will get removed if the file is opened in a newer version of Excel. Learn more: https://go.microsoft.com/fwlink/?linkid=870924
Comment:
    Velger å angi som finansiell post ettersom at selgerkreditter er en avtale som krever at man betaler løpende renter på lånebeløpet.</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tc={537C9733-97B9-2E45-9A8E-4ACC2214436B}</author>
    <author>tc={31CFA1EF-7D3A-D74C-9A3C-8AB40D6DC803}</author>
    <author>tc={70D1824A-A80F-D24A-92AD-9937199A7A29}</author>
    <author>tc={096A2A0F-5DBC-8B4A-9E33-421CD5B10C75}</author>
    <author>tc={9889E543-63BB-2045-9DDE-1D865C69EE3E}</author>
    <author>tc={7A7E89A2-68CC-F446-8F36-E4AB3D56CF9A}</author>
    <author>tc={0EF344A1-94A0-044D-AD78-4646E41B7131}</author>
    <author>tc={767090B5-8475-AF4E-9663-1D07ABC07A74}</author>
  </authors>
  <commentList>
    <comment ref="B8" authorId="0" shapeId="0" xr:uid="{537C9733-97B9-2E45-9A8E-4ACC2214436B}">
      <text>
        <t>[Threaded comment]
Your version of Excel allows you to read this threaded comment; however, any edits to it will get removed if the file is opened in a newer version of Excel. Learn more: https://go.microsoft.com/fwlink/?linkid=870924
Comment:
    Velger å angi som en operasjonell post ettersom at investering
 felleskontrollerte- og tilknyttede selskaper er datterselskaper av Selvaag og er kritisk for å opprettholde driften</t>
      </text>
    </comment>
    <comment ref="L8" authorId="1" shapeId="0" xr:uid="{31CFA1EF-7D3A-D74C-9A3C-8AB40D6DC803}">
      <text>
        <t>[Threaded comment]
Your version of Excel allows you to read this threaded comment; however, any edits to it will get removed if the file is opened in a newer version of Excel. Learn more: https://go.microsoft.com/fwlink/?linkid=870924
Comment:
    Velger å angi som en operasjonell post ettersom at investering
 felleskontrollerte- og tilknyttede selskaper er datterselskaper av Selvaag og er kritisk for å opprettholde driften</t>
      </text>
    </comment>
    <comment ref="V8" authorId="2" shapeId="0" xr:uid="{70D1824A-A80F-D24A-92AD-9937199A7A29}">
      <text>
        <t>[Threaded comment]
Your version of Excel allows you to read this threaded comment; however, any edits to it will get removed if the file is opened in a newer version of Excel. Learn more: https://go.microsoft.com/fwlink/?linkid=870924
Comment:
    Velger å angi som en operasjonell post ettersom at investering
 felleskontrollerte- og tilknyttede selskaper er datterselskaper av Selvaag og er kritisk for å opprettholde driften</t>
      </text>
    </comment>
    <comment ref="AF8" authorId="3" shapeId="0" xr:uid="{096A2A0F-5DBC-8B4A-9E33-421CD5B10C75}">
      <text>
        <t>[Threaded comment]
Your version of Excel allows you to read this threaded comment; however, any edits to it will get removed if the file is opened in a newer version of Excel. Learn more: https://go.microsoft.com/fwlink/?linkid=870924
Comment:
    Velger å angi som en operasjonell post ettersom at investering
 felleskontrollerte- og tilknyttede selskaper er datterselskaper av Selvaag og er kritisk for å opprettholde driften</t>
      </text>
    </comment>
    <comment ref="AA11" authorId="4" shapeId="0" xr:uid="{9889E543-63BB-2045-9DDE-1D865C69EE3E}">
      <text>
        <t>[Threaded comment]
Your version of Excel allows you to read this threaded comment; however, any edits to it will get removed if the file is opened in a newer version of Excel. Learn more: https://go.microsoft.com/fwlink/?linkid=870924
Comment:
    Velger å angi som finansiell post ettersom at selgerkreditter er en avtale som krever at man betaler løpende renter på lånebeløpet.</t>
      </text>
    </comment>
    <comment ref="AK11" authorId="5" shapeId="0" xr:uid="{7A7E89A2-68CC-F446-8F36-E4AB3D56CF9A}">
      <text>
        <t>[Threaded comment]
Your version of Excel allows you to read this threaded comment; however, any edits to it will get removed if the file is opened in a newer version of Excel. Learn more: https://go.microsoft.com/fwlink/?linkid=870924
Comment:
    Velger å angi som finansiell post ettersom at selgerkreditter er en avtale som krever at man betaler løpende renter på lånebeløpet.</t>
      </text>
    </comment>
    <comment ref="Q17" authorId="6" shapeId="0" xr:uid="{0EF344A1-94A0-044D-AD78-4646E41B7131}">
      <text>
        <t>[Threaded comment]
Your version of Excel allows you to read this threaded comment; however, any edits to it will get removed if the file is opened in a newer version of Excel. Learn more: https://go.microsoft.com/fwlink/?linkid=870924
Comment:
    Velger å angi som finansiell post ettersom at selgerkreditter er en avtale som krever at man betaler løpende renter på lånebeløpet.</t>
      </text>
    </comment>
    <comment ref="G18" authorId="7" shapeId="0" xr:uid="{767090B5-8475-AF4E-9663-1D07ABC07A74}">
      <text>
        <t>[Threaded comment]
Your version of Excel allows you to read this threaded comment; however, any edits to it will get removed if the file is opened in a newer version of Excel. Learn more: https://go.microsoft.com/fwlink/?linkid=870924
Comment:
    Velger å angi som finansiell post ettersom at selgerkreditter er en avtale som krever at man betaler løpende renter på lånebeløpet.</t>
      </text>
    </comment>
  </commentList>
</comments>
</file>

<file path=xl/sharedStrings.xml><?xml version="1.0" encoding="utf-8"?>
<sst xmlns="http://schemas.openxmlformats.org/spreadsheetml/2006/main" count="1056" uniqueCount="409">
  <si>
    <t>NORSK</t>
  </si>
  <si>
    <t>Resultatregnskap Selvaag Bolig AS (Alle tall i 1.000)</t>
  </si>
  <si>
    <t>Note</t>
  </si>
  <si>
    <t>2, 25</t>
  </si>
  <si>
    <t>25</t>
  </si>
  <si>
    <t>Prosjektkostnader (O)</t>
  </si>
  <si>
    <t>5</t>
  </si>
  <si>
    <t>6</t>
  </si>
  <si>
    <t>Avskrivninger og amortisering (O)</t>
  </si>
  <si>
    <t>9, 10</t>
  </si>
  <si>
    <t>Andre driftskostnader (O)</t>
  </si>
  <si>
    <t>7</t>
  </si>
  <si>
    <t>Sum driftskostnader</t>
  </si>
  <si>
    <t>24</t>
  </si>
  <si>
    <t>Øvrige gevinster (tap) netto (O)</t>
  </si>
  <si>
    <t>26</t>
  </si>
  <si>
    <t xml:space="preserve">                          -</t>
  </si>
  <si>
    <t>Driftsresultat</t>
  </si>
  <si>
    <t>Finansinntekter (F)</t>
  </si>
  <si>
    <t>8</t>
  </si>
  <si>
    <t>Finanskostnader (F)</t>
  </si>
  <si>
    <t>Netto finansposter</t>
  </si>
  <si>
    <t>Resultat før skatt</t>
  </si>
  <si>
    <t>Skattekostnad (O + F)</t>
  </si>
  <si>
    <t>19</t>
  </si>
  <si>
    <t>Årets resultat</t>
  </si>
  <si>
    <t>Poster i utvidet resultat som kan bli omklassifisert til resultatet (O)</t>
  </si>
  <si>
    <t>Årets totalresultat</t>
  </si>
  <si>
    <t>ENGELSK</t>
  </si>
  <si>
    <t>Sales revenues</t>
  </si>
  <si>
    <t>Other revenues</t>
  </si>
  <si>
    <t>Profit (loss) before income taxes</t>
  </si>
  <si>
    <t>Profit (loss) for the year</t>
  </si>
  <si>
    <t>Total comprehensive income for the year</t>
  </si>
  <si>
    <t>Balanseregnskap Selvaag Bolig AS (Alle tall i 1.000)</t>
  </si>
  <si>
    <t>Goodwill (O)</t>
  </si>
  <si>
    <t>Varige driftsmidler (O)</t>
  </si>
  <si>
    <t>Bruksretteiendeler leieavtaler (O)</t>
  </si>
  <si>
    <t>Investeringer i felleskontrollerte foretak og tilknyttede selskaper (O)</t>
  </si>
  <si>
    <t>23, 24</t>
  </si>
  <si>
    <t>Andre langsiktige fordringer (O)</t>
  </si>
  <si>
    <t>Sum anleggsmidler</t>
  </si>
  <si>
    <t>Varelager (eiendom) (O)</t>
  </si>
  <si>
    <t>Kundefordringer (O)</t>
  </si>
  <si>
    <t>Andre kortsiktige fordringer (O)</t>
  </si>
  <si>
    <t>Kontanter og kontanekvivalenter (F)</t>
  </si>
  <si>
    <t>5, 26, 27</t>
  </si>
  <si>
    <t>Sum omløpsmidler</t>
  </si>
  <si>
    <t>Sum eiendeler</t>
  </si>
  <si>
    <t>Egenkapital fordelt på aksjonærer i Selvaag Bolig ASA</t>
  </si>
  <si>
    <t>Ikke-kontrollerende interesser</t>
  </si>
  <si>
    <t>Pensjonsforpliktelser (F)</t>
  </si>
  <si>
    <t>Avsetninger (O)</t>
  </si>
  <si>
    <t>Langsiktige rentebærende gjeld (F)</t>
  </si>
  <si>
    <t>Sum langsiktig gjeld</t>
  </si>
  <si>
    <t>Kortsiktig rentebærende gjeld (F)</t>
  </si>
  <si>
    <t>Leverandørgjeld (O)</t>
  </si>
  <si>
    <t>Betaltbar skatt (O)</t>
  </si>
  <si>
    <t>Annen kortsiktig ikke-rentebærende gjeld (O)</t>
  </si>
  <si>
    <t>19, 26</t>
  </si>
  <si>
    <t>Sum kortsiktig gjeld</t>
  </si>
  <si>
    <t>Sum egenkapital og gjeld</t>
  </si>
  <si>
    <t>Lån til felleskontrollerte foretak og tilknyttede selskaper (O)</t>
  </si>
  <si>
    <t>Total non-current assets</t>
  </si>
  <si>
    <t>Total current assets</t>
  </si>
  <si>
    <t>Total assets</t>
  </si>
  <si>
    <t>Equity attributable to shareholders of Selvaag Bolig ASA</t>
  </si>
  <si>
    <t>Non-controlling interests</t>
  </si>
  <si>
    <t>Total equity</t>
  </si>
  <si>
    <t>Total non-current liabilities</t>
  </si>
  <si>
    <t>Total current liabilities</t>
  </si>
  <si>
    <t>Total equity and liabilities</t>
  </si>
  <si>
    <t>Property, plant and equipment (O)</t>
  </si>
  <si>
    <t>Right-of-use assets (O)</t>
  </si>
  <si>
    <t>Investments in associated companies and joint ventures (O)</t>
  </si>
  <si>
    <t>Other non-current assets (O)</t>
  </si>
  <si>
    <t>Inventory property (O)</t>
  </si>
  <si>
    <t>Trace receivables (O)</t>
  </si>
  <si>
    <t>Other current receivables (O)</t>
  </si>
  <si>
    <t>Cash and cas equivalents (F)</t>
  </si>
  <si>
    <t>Pension obligations (F)</t>
  </si>
  <si>
    <t>Provisions (O)</t>
  </si>
  <si>
    <t>Other non-current non-interest-bearings liabilities (O)</t>
  </si>
  <si>
    <t>Non-current interest-bearing liabilities (F)</t>
  </si>
  <si>
    <t>Trade payables (O)</t>
  </si>
  <si>
    <t>Current income taxes payable (O)</t>
  </si>
  <si>
    <t>Current interest-bearing liabilities (F)</t>
  </si>
  <si>
    <r>
      <t xml:space="preserve">NORSK </t>
    </r>
    <r>
      <rPr>
        <sz val="14"/>
        <color theme="1"/>
        <rFont val="Calibri (Body)"/>
      </rPr>
      <t>(Alle tall i 1.000)</t>
    </r>
  </si>
  <si>
    <r>
      <t xml:space="preserve">ENGELSK </t>
    </r>
    <r>
      <rPr>
        <sz val="14"/>
        <color theme="1"/>
        <rFont val="Calibri (Body)"/>
      </rPr>
      <t>(Alle tall i 1.000)</t>
    </r>
  </si>
  <si>
    <t>SELVAAG - ORIGINAL FORMAT</t>
  </si>
  <si>
    <t>Forpliktelse ved utsatt skatt (O)</t>
  </si>
  <si>
    <t>Sum driftsinntekter (O)</t>
  </si>
  <si>
    <t>Annen langsiktig ikke-rentebærende gjeld (O)</t>
  </si>
  <si>
    <t>1) ALT som ikke er rentebærende eller trenger en rate-of-return (avkastning),  er operativt</t>
  </si>
  <si>
    <t>2) Regn ut tax shield</t>
  </si>
  <si>
    <t>Lønns- og personalkostnader, administrative funksjoner (O)</t>
  </si>
  <si>
    <t>Total revenues (O)</t>
  </si>
  <si>
    <t>Pay and personnel expenses, administrative functions (O)</t>
  </si>
  <si>
    <t>Depriciation and amortisation (O)</t>
  </si>
  <si>
    <t>Other operating expenses (O)</t>
  </si>
  <si>
    <t>Total operating expenses (O)</t>
  </si>
  <si>
    <t>Share of income (losses) from associated companies and joint ventures (O)</t>
  </si>
  <si>
    <t>Andel av resultat fra felleskontrollerte foretak og tilknyttede selskaper (O)</t>
  </si>
  <si>
    <t>Other gains (losses), net (O)</t>
  </si>
  <si>
    <t>Operating profit (loss) (O)</t>
  </si>
  <si>
    <t>Financial income (F)</t>
  </si>
  <si>
    <t>Financial expenses (F)</t>
  </si>
  <si>
    <t>Net financial expenses (F)</t>
  </si>
  <si>
    <t>Income tax (expense) income (O + F)</t>
  </si>
  <si>
    <t>Foreign currency translation (F)</t>
  </si>
  <si>
    <t>Kortsiktig gjeld tilbakekjøpsavtaler og selgerkreditter (F)</t>
  </si>
  <si>
    <t>Sum egenkapital (E)</t>
  </si>
  <si>
    <t>Non-current lease liabilities (O)</t>
  </si>
  <si>
    <t>Langsiktige leieforpliktelser (O)</t>
  </si>
  <si>
    <t>Current lease liabilities (O)</t>
  </si>
  <si>
    <t>Kortsiktige leieforpliktelser (O)</t>
  </si>
  <si>
    <t>Deferred tax liabilities (O)</t>
  </si>
  <si>
    <t>Salgsinntekter (O)</t>
  </si>
  <si>
    <t>Øvrige inntekter (O)</t>
  </si>
  <si>
    <t>Project expenses (O)</t>
  </si>
  <si>
    <t>Gross Profit</t>
  </si>
  <si>
    <t xml:space="preserve">EBITDA </t>
  </si>
  <si>
    <t>EBIT</t>
  </si>
  <si>
    <t>Corporate tax reported</t>
  </si>
  <si>
    <t>-/+ tax-shield from net financial expenses</t>
  </si>
  <si>
    <t>Operating tax expense</t>
  </si>
  <si>
    <t>NOPAT</t>
  </si>
  <si>
    <t>NOPAT (Net operating profit after tax)</t>
  </si>
  <si>
    <t>+/- tax-shield from Net financial expenses</t>
  </si>
  <si>
    <t>Consolidated profit</t>
  </si>
  <si>
    <t>Reformulated income statement</t>
  </si>
  <si>
    <t>Gross profit</t>
  </si>
  <si>
    <t>EBITDA</t>
  </si>
  <si>
    <t>Skatteskjold fra netto finansielle kostnader</t>
  </si>
  <si>
    <t>Operasjonelle skattekostnader</t>
  </si>
  <si>
    <t>Konsolidert profit</t>
  </si>
  <si>
    <t>Reformulert resultatregnskap</t>
  </si>
  <si>
    <t>Current liabilities repurchase agreements and seller credits (F)</t>
  </si>
  <si>
    <t>Other current non-interest-bearing liabilities (O)</t>
  </si>
  <si>
    <t>Loans to associated companies and joint ventures (O)</t>
  </si>
  <si>
    <t>FA (Financial assets)</t>
  </si>
  <si>
    <t>ONCA (Operating non-current assets)</t>
  </si>
  <si>
    <t>OCA (Operating current assets)</t>
  </si>
  <si>
    <t>ONCL (Operating non-current liabilities)</t>
  </si>
  <si>
    <t>IBD (Interest bearing debt)</t>
  </si>
  <si>
    <t>OCL (Operating current liabilities)</t>
  </si>
  <si>
    <t>TOTAL EQUITY AND LIABILITIES</t>
  </si>
  <si>
    <t>TOTAL ASSETS</t>
  </si>
  <si>
    <t>Eiendeler holdt for salg (F)</t>
  </si>
  <si>
    <t>Assets held for sale (F)</t>
  </si>
  <si>
    <t>Forpliktelser relatert til eiendeler holdt for salg (F)</t>
  </si>
  <si>
    <t>Liabilities directly associated with assets classified as held for sale (F)</t>
  </si>
  <si>
    <t>NONCA (Net operating non-current assets)</t>
  </si>
  <si>
    <t>NOWC (net operating working capital)</t>
  </si>
  <si>
    <t>NOA (Net operating assets) NONCA + NOWC</t>
  </si>
  <si>
    <t>TOTAL ASSET (NONCA + FA + NOWC)</t>
  </si>
  <si>
    <t>CE-FORMAT (Capital employed)</t>
  </si>
  <si>
    <t>TA-FORMAT (Total asset)</t>
  </si>
  <si>
    <t>NOA-Format (Net operating assets)</t>
  </si>
  <si>
    <t>NIBD (Net interest bearing debt)</t>
  </si>
  <si>
    <t>TOTAL EQUITY AND NIBD</t>
  </si>
  <si>
    <t>TOTAL EQUITY AND INTEREST BEARING DEBT</t>
  </si>
  <si>
    <t>Reformulated Balance Sheet</t>
  </si>
  <si>
    <t>Reformulated Income Statement</t>
  </si>
  <si>
    <t>Konsolidert Resultat</t>
  </si>
  <si>
    <t>2016*</t>
  </si>
  <si>
    <t>2017*</t>
  </si>
  <si>
    <t>2018*</t>
  </si>
  <si>
    <t>2016**</t>
  </si>
  <si>
    <t>**) Tall hentet fra Selvaag Bolig årsrapport 2017</t>
  </si>
  <si>
    <t>*) Tall hentet fra Selvaag Bolig årsrapport 2018</t>
  </si>
  <si>
    <t>Vekst i %</t>
  </si>
  <si>
    <t>Vekst (reduksjon) i kr</t>
  </si>
  <si>
    <t>*) Alle valg som er tatt i sammenheng med klassifisering av operasjonelle og finansielle poster er gjort med utgangspunkt i notene i årsrapporten til Selvaag Bolig for 2019 / 2020.</t>
  </si>
  <si>
    <t xml:space="preserve">                  -</t>
  </si>
  <si>
    <t>ONCA</t>
  </si>
  <si>
    <t>FA</t>
  </si>
  <si>
    <t>OCA</t>
  </si>
  <si>
    <t>ONCL</t>
  </si>
  <si>
    <t>IBD</t>
  </si>
  <si>
    <t>OCL</t>
  </si>
  <si>
    <t>Total asset</t>
  </si>
  <si>
    <t>NONCA</t>
  </si>
  <si>
    <t>NOWC</t>
  </si>
  <si>
    <t>NOA</t>
  </si>
  <si>
    <t>NIBD</t>
  </si>
  <si>
    <t>Total equity and NIBD</t>
  </si>
  <si>
    <t>Equity</t>
  </si>
  <si>
    <t>NOWC (Net operating working capital)</t>
  </si>
  <si>
    <t>NOA (Net operating assets)</t>
  </si>
  <si>
    <t>TA (Total assets)</t>
  </si>
  <si>
    <t>CE (Capital employed)</t>
  </si>
  <si>
    <t>Nøkkeltall</t>
  </si>
  <si>
    <t>ROIC</t>
  </si>
  <si>
    <t>NOA-1</t>
  </si>
  <si>
    <t>Gj.snitt NOA</t>
  </si>
  <si>
    <t>WACC</t>
  </si>
  <si>
    <t>MVE</t>
  </si>
  <si>
    <t>rd</t>
  </si>
  <si>
    <t>re</t>
  </si>
  <si>
    <t>re (required rate of return E)</t>
  </si>
  <si>
    <t>ROIC after tax</t>
  </si>
  <si>
    <t>beta E (5Y Monthly)</t>
  </si>
  <si>
    <t>MVE (marketcap)</t>
  </si>
  <si>
    <t>invested capital</t>
  </si>
  <si>
    <t>EVA (economic value added)</t>
  </si>
  <si>
    <t>Net profit after tax</t>
  </si>
  <si>
    <t>ROE</t>
  </si>
  <si>
    <t>Øvrige gevinster (tap) netto (F)</t>
  </si>
  <si>
    <t>Skatteskjold fra nettop finansielle kostnader</t>
  </si>
  <si>
    <t>Operasjonell skattekostnad</t>
  </si>
  <si>
    <t>Konsolidert profitt</t>
  </si>
  <si>
    <t>Analytisk resultatregnskap Selvaag Bolig AS (Alle tall i 1.000)</t>
  </si>
  <si>
    <t>Wacc</t>
  </si>
  <si>
    <t>Re</t>
  </si>
  <si>
    <t>Siden finansinstitusjoner som har gitt gjeld til selskapet skal få betalt før investorer, vil avkastningskravet til investorer øke som et resultat av at selskapet får mer gjeld fordi lånet spiser av egenkapitalen.</t>
  </si>
  <si>
    <t>Inntekt</t>
  </si>
  <si>
    <t>Invested capital turnover rate (ICT)</t>
  </si>
  <si>
    <t>Invested capital (Gj.snitt NOA)</t>
  </si>
  <si>
    <t>EVA %</t>
  </si>
  <si>
    <t>EVA i % av Gj.snitt NOA</t>
  </si>
  <si>
    <t>NIBD + MVE</t>
  </si>
  <si>
    <t>Rentekostnad</t>
  </si>
  <si>
    <t>Operating profit margin</t>
  </si>
  <si>
    <t>Revenue</t>
  </si>
  <si>
    <t>EVA</t>
  </si>
  <si>
    <t>Market value of NOA</t>
  </si>
  <si>
    <t>Market value of NOA-1</t>
  </si>
  <si>
    <t>WACC (market value)</t>
  </si>
  <si>
    <t>NOPAT (after tax)</t>
  </si>
  <si>
    <t>ROIC (after tax)</t>
  </si>
  <si>
    <t>IC turnover rate</t>
  </si>
  <si>
    <t>IC turnover rate days</t>
  </si>
  <si>
    <t>IC turnover months</t>
  </si>
  <si>
    <t>Return on equity</t>
  </si>
  <si>
    <t>Payout ratio</t>
  </si>
  <si>
    <t>Dividends per share</t>
  </si>
  <si>
    <t>EPS</t>
  </si>
  <si>
    <t>Dividend payout ratio</t>
  </si>
  <si>
    <t>Earnings per share</t>
  </si>
  <si>
    <t>Shares outstanding</t>
  </si>
  <si>
    <t xml:space="preserve">Aksjepris </t>
  </si>
  <si>
    <t>Price-to-earnings</t>
  </si>
  <si>
    <t>Gj.snitt BVE</t>
  </si>
  <si>
    <t>BVE</t>
  </si>
  <si>
    <t>Leverage</t>
  </si>
  <si>
    <t>Finansielle kostnader</t>
  </si>
  <si>
    <t>Finansielle inntekter</t>
  </si>
  <si>
    <t>Tax-shield</t>
  </si>
  <si>
    <t>NBC (Net borrowing cost)</t>
  </si>
  <si>
    <t>NIBD t-1</t>
  </si>
  <si>
    <t>Market value ROIC (after tax)</t>
  </si>
  <si>
    <t>Residual income (RI)</t>
  </si>
  <si>
    <t>Gj.snitt MVE</t>
  </si>
  <si>
    <t>Market value ROE</t>
  </si>
  <si>
    <t>NBC</t>
  </si>
  <si>
    <t>Minority interests share</t>
  </si>
  <si>
    <t>PO (div som en prosent av net profit)</t>
  </si>
  <si>
    <t>Sustainable growth rate 2 (g)</t>
  </si>
  <si>
    <t>Invested capital</t>
  </si>
  <si>
    <t>Vekst i EVA</t>
  </si>
  <si>
    <t>Aksjepris (31.12.)</t>
  </si>
  <si>
    <t>Interest margin</t>
  </si>
  <si>
    <t>Vekst RI</t>
  </si>
  <si>
    <t>Gj.snitt</t>
  </si>
  <si>
    <t>Earnings</t>
  </si>
  <si>
    <t>Dividends total</t>
  </si>
  <si>
    <t>2020 (1)</t>
  </si>
  <si>
    <t>2020 (2)</t>
  </si>
  <si>
    <t>ROIC after tax (market value)</t>
  </si>
  <si>
    <t>2020 (1): Justert for UP-transaksjonen</t>
  </si>
  <si>
    <t>2020 (2): ikke justert for UP-transaksjonen</t>
  </si>
  <si>
    <t>Sustainable growth rate</t>
  </si>
  <si>
    <t>Årsresultat etter skatt</t>
  </si>
  <si>
    <t>Utbyttepolicy 40% av årsres</t>
  </si>
  <si>
    <t>Egenkapital</t>
  </si>
  <si>
    <t>Sum EK og Gjeld</t>
  </si>
  <si>
    <t>EK-grad</t>
  </si>
  <si>
    <t>Utbytte per aksje</t>
  </si>
  <si>
    <t>Vekst i utbytte %</t>
  </si>
  <si>
    <t>Boliger i produksjon</t>
  </si>
  <si>
    <t>Antall solgte enheter</t>
  </si>
  <si>
    <t>Enheter under bygging</t>
  </si>
  <si>
    <t>Trend</t>
  </si>
  <si>
    <t>+ Depreciation</t>
  </si>
  <si>
    <t>-</t>
  </si>
  <si>
    <t>FCFF</t>
  </si>
  <si>
    <t>Cash surplus</t>
  </si>
  <si>
    <t>+/- Cash surplus</t>
  </si>
  <si>
    <t>+/- Changes in NIBD</t>
  </si>
  <si>
    <t>FCFE (Free cash flow to equity holders</t>
  </si>
  <si>
    <t>Dividend</t>
  </si>
  <si>
    <t>Cash IB</t>
  </si>
  <si>
    <t>Cash UB</t>
  </si>
  <si>
    <t>+/- Changes in NONCA</t>
  </si>
  <si>
    <t>+/- Changes in NOWC</t>
  </si>
  <si>
    <t>Terminal</t>
  </si>
  <si>
    <t>Forecast</t>
  </si>
  <si>
    <t>Revenue growth</t>
  </si>
  <si>
    <t>Tax rate</t>
  </si>
  <si>
    <t>Korrigerer seg</t>
  </si>
  <si>
    <t>korrigerer seg</t>
  </si>
  <si>
    <t>Historic</t>
  </si>
  <si>
    <t>Goodwill</t>
  </si>
  <si>
    <t>Varige driftsmidler som en % av revenue</t>
  </si>
  <si>
    <t>Bruksretteiendeler leieavtaler som en % av revenue</t>
  </si>
  <si>
    <t>Investeringer i felleskontrollerte foretak som en % av revenue</t>
  </si>
  <si>
    <t>Deferred tax liabilites som en prosent av % revenue</t>
  </si>
  <si>
    <t>Andre AN som en prosent av %</t>
  </si>
  <si>
    <t>Andre ONCL som en % av revenue</t>
  </si>
  <si>
    <t>Varelager som en % av revenue</t>
  </si>
  <si>
    <t>Totale kundefordringer som en % av revenue</t>
  </si>
  <si>
    <t>Annen kortsiktig gjeld som en % av revenue</t>
  </si>
  <si>
    <t>NIBD som en % av (NOA - goodwill)</t>
  </si>
  <si>
    <t>Prosjektkostnader som en % av revenue</t>
  </si>
  <si>
    <t>Lønns- og personalkost osv. Som en % av revenue</t>
  </si>
  <si>
    <t>Andre driftsres. Som en % av revenue</t>
  </si>
  <si>
    <t>Resultat fra felleskontrollerte foretak som en % av revenue</t>
  </si>
  <si>
    <t>Avskrivninger og amortisering som en % av AN</t>
  </si>
  <si>
    <t>Finansinntekt som en % av NIBD</t>
  </si>
  <si>
    <t>Finanskostnad som en % av NIBD</t>
  </si>
  <si>
    <t>Vekstrate</t>
  </si>
  <si>
    <t>PV explicit</t>
  </si>
  <si>
    <t xml:space="preserve">PV terminal </t>
  </si>
  <si>
    <t>Markedsverdi EK (MVE)</t>
  </si>
  <si>
    <t>Discount factor (1+Re)^n</t>
  </si>
  <si>
    <t>Discount (1+WACC)^n</t>
  </si>
  <si>
    <t>PV Explicit</t>
  </si>
  <si>
    <t>PV Terminal</t>
  </si>
  <si>
    <t>Utbytte (FCFE)</t>
  </si>
  <si>
    <t>Antall utestående aksjer</t>
  </si>
  <si>
    <t>Selskapsverdi</t>
  </si>
  <si>
    <t>Aksjepris</t>
  </si>
  <si>
    <t>vekstrate</t>
  </si>
  <si>
    <t>PV EVA Explicit</t>
  </si>
  <si>
    <t>Diskonteringsfaktor (1+WACC)^n</t>
  </si>
  <si>
    <t>NIBD UB 0</t>
  </si>
  <si>
    <t>n</t>
  </si>
  <si>
    <t>Årsres</t>
  </si>
  <si>
    <t>Avkastningskrav til EK (Re)</t>
  </si>
  <si>
    <t>RI</t>
  </si>
  <si>
    <t>Diskonteringsfaktor (1+Re)^n</t>
  </si>
  <si>
    <t>The Residual Income Model</t>
  </si>
  <si>
    <t>DDM (The Dividend Discount Model)</t>
  </si>
  <si>
    <t>The residual Income Model</t>
  </si>
  <si>
    <t>Gj.snittlig MVE (RI + DDM)</t>
  </si>
  <si>
    <t>MVE (NOK)</t>
  </si>
  <si>
    <t>The Dividend Discount Model</t>
  </si>
  <si>
    <t>Oppside</t>
  </si>
  <si>
    <t>Egenverdi Selvaag</t>
  </si>
  <si>
    <t>Utestående aksjer</t>
  </si>
  <si>
    <t>Styrker</t>
  </si>
  <si>
    <t>Svakheter</t>
  </si>
  <si>
    <r>
      <rPr>
        <b/>
        <sz val="11"/>
        <color rgb="FF000000"/>
        <rFont val="Calibri"/>
        <family val="2"/>
        <scheme val="minor"/>
      </rPr>
      <t>Lang fartstid i bransjen:</t>
    </r>
    <r>
      <rPr>
        <i/>
        <sz val="11"/>
        <color rgb="FF000000"/>
        <rFont val="Calibri"/>
        <family val="2"/>
        <scheme val="minor"/>
      </rPr>
      <t xml:space="preserve"> </t>
    </r>
    <r>
      <rPr>
        <sz val="11"/>
        <color rgb="FF000000"/>
        <rFont val="Calibri"/>
        <family val="2"/>
        <scheme val="minor"/>
      </rPr>
      <t>Høyt kunnskaps- og erfaringsnivå. Et generelt høyt nivå på humankapital</t>
    </r>
  </si>
  <si>
    <r>
      <rPr>
        <b/>
        <sz val="11"/>
        <color rgb="FF000000"/>
        <rFont val="Calibri"/>
        <family val="2"/>
        <scheme val="minor"/>
      </rPr>
      <t>Stor interesse for produktet:</t>
    </r>
    <r>
      <rPr>
        <sz val="11"/>
        <color rgb="FF000000"/>
        <rFont val="Calibri"/>
        <family val="2"/>
        <scheme val="minor"/>
      </rPr>
      <t xml:space="preserve"> Selvaag opererer i et marked som stadig viser økende interesse for produktet. </t>
    </r>
  </si>
  <si>
    <r>
      <rPr>
        <b/>
        <sz val="11"/>
        <color rgb="FF000000"/>
        <rFont val="Calibri"/>
        <family val="2"/>
        <scheme val="minor"/>
      </rPr>
      <t>Sterk historikk:</t>
    </r>
    <r>
      <rPr>
        <i/>
        <sz val="11"/>
        <color rgb="FF000000"/>
        <rFont val="Calibri"/>
        <family val="2"/>
        <scheme val="minor"/>
      </rPr>
      <t xml:space="preserve"> </t>
    </r>
    <r>
      <rPr>
        <sz val="11"/>
        <color rgb="FF000000"/>
        <rFont val="Calibri"/>
        <family val="2"/>
        <scheme val="minor"/>
      </rPr>
      <t>Selvaag har etter en årrekke bygget seg opp en sterk portefølje med ferdigstilte prosjekter å vise til.</t>
    </r>
  </si>
  <si>
    <r>
      <rPr>
        <b/>
        <sz val="11"/>
        <rFont val="Calibri"/>
        <family val="2"/>
        <scheme val="minor"/>
      </rPr>
      <t>Materialkostnader:</t>
    </r>
    <r>
      <rPr>
        <i/>
        <sz val="11"/>
        <rFont val="Calibri"/>
        <family val="2"/>
        <scheme val="minor"/>
      </rPr>
      <t xml:space="preserve"> </t>
    </r>
    <r>
      <rPr>
        <sz val="11"/>
        <rFont val="Calibri"/>
        <family val="2"/>
        <scheme val="minor"/>
      </rPr>
      <t>Det sykliske aspektet ved virksomheten til Selvsaag er kostnaden på material. Dette underliggende produktet er noe Selvaag er avhengig av, og ikke kan kontrollere prisene på.</t>
    </r>
  </si>
  <si>
    <t>Muligheter</t>
  </si>
  <si>
    <t>Trusler</t>
  </si>
  <si>
    <r>
      <rPr>
        <b/>
        <sz val="11"/>
        <color rgb="FF000000"/>
        <rFont val="Calibri"/>
        <family val="2"/>
        <scheme val="minor"/>
      </rPr>
      <t>Styrke merkevaren:</t>
    </r>
    <r>
      <rPr>
        <sz val="11"/>
        <color rgb="FF000000"/>
        <rFont val="Calibri"/>
        <family val="2"/>
        <scheme val="minor"/>
      </rPr>
      <t xml:space="preserve"> Et økt nordisk kjennskap til merkevaren “Selvaag Bolig” kan øke konkurransefortrinnet. </t>
    </r>
  </si>
  <si>
    <r>
      <rPr>
        <b/>
        <sz val="11"/>
        <color rgb="FF000000"/>
        <rFont val="Calibri"/>
        <family val="2"/>
        <scheme val="minor"/>
      </rPr>
      <t>Ekspandere over flere land:</t>
    </r>
    <r>
      <rPr>
        <sz val="11"/>
        <color rgb="FF000000"/>
        <rFont val="Calibri"/>
        <family val="2"/>
        <scheme val="minor"/>
      </rPr>
      <t xml:space="preserve"> Produktet Selvaag leverer er ønsket over hele verden, og vil alltid være et menneskelig behov.</t>
    </r>
  </si>
  <si>
    <r>
      <rPr>
        <b/>
        <sz val="11"/>
        <color rgb="FF000000"/>
        <rFont val="Calibri"/>
        <family val="2"/>
        <scheme val="minor"/>
      </rPr>
      <t>Politiske mål:</t>
    </r>
    <r>
      <rPr>
        <sz val="11"/>
        <color rgb="FF000000"/>
        <rFont val="Calibri"/>
        <family val="2"/>
        <scheme val="minor"/>
      </rPr>
      <t xml:space="preserve"> I Norge er det et mål om å få flere inn i boligmarkedet. En av hoved-strategiene for å oppnå dette er utbyggelse av flere boliger.</t>
    </r>
  </si>
  <si>
    <r>
      <rPr>
        <b/>
        <sz val="11"/>
        <color rgb="FF000000"/>
        <rFont val="Calibri"/>
        <family val="2"/>
        <scheme val="minor"/>
      </rPr>
      <t>Politiske endringer:</t>
    </r>
    <r>
      <rPr>
        <i/>
        <sz val="11"/>
        <color rgb="FF000000"/>
        <rFont val="Calibri"/>
        <family val="2"/>
        <scheme val="minor"/>
      </rPr>
      <t> </t>
    </r>
    <r>
      <rPr>
        <sz val="11"/>
        <color rgb="FF000000"/>
        <rFont val="Calibri"/>
        <family val="2"/>
        <scheme val="minor"/>
      </rPr>
      <t xml:space="preserve"> Skatte-endringer, rentehevinger, inflasjon, reguleringer, etc.</t>
    </r>
  </si>
  <si>
    <r>
      <rPr>
        <b/>
        <sz val="11"/>
        <color rgb="FF000000"/>
        <rFont val="Calibri"/>
        <family val="2"/>
        <scheme val="minor"/>
      </rPr>
      <t>Konkurranseintensiv bransje:</t>
    </r>
    <r>
      <rPr>
        <sz val="11"/>
        <color rgb="FF000000"/>
        <rFont val="Calibri"/>
        <family val="2"/>
        <scheme val="minor"/>
      </rPr>
      <t xml:space="preserve"> Det er flere konkurrerende virksomheter som leverer samme produktet som Selvaag.</t>
    </r>
  </si>
  <si>
    <t>Vurdering av følgende momenter</t>
  </si>
  <si>
    <t>Ledelsen vil ikke manipulere regnskapet</t>
  </si>
  <si>
    <t>Høyt nivå på detaljerte og relevante noter</t>
  </si>
  <si>
    <t>Selskapet mottar korrekte tall fra konsernledelsen</t>
  </si>
  <si>
    <t>Høy grad av informasjon i rapportene</t>
  </si>
  <si>
    <t>Opplyser klart og tydelig om potensiell risiko</t>
  </si>
  <si>
    <t>Falsk</t>
  </si>
  <si>
    <t>Sann</t>
  </si>
  <si>
    <t>x</t>
  </si>
  <si>
    <t>Gjennomsnitt (4,6)</t>
  </si>
  <si>
    <t>Nøkkeltall fra analytisk balanse (alle tall i 1.000)</t>
  </si>
  <si>
    <t>Nøkkeltall fra analytisk resultat (alle tall i 1.000)</t>
  </si>
  <si>
    <t>Verdi av solgte enheter*</t>
  </si>
  <si>
    <t>Selvaag Bolig</t>
  </si>
  <si>
    <t>Liquidity cycle</t>
  </si>
  <si>
    <t>Current ratio</t>
  </si>
  <si>
    <t>Quick ratio</t>
  </si>
  <si>
    <t>Solon Eiendom</t>
  </si>
  <si>
    <t>Financial leverage (Book value)</t>
  </si>
  <si>
    <t>Financial leverage (Market value)</t>
  </si>
  <si>
    <t>Solvency ratio (Book value)</t>
  </si>
  <si>
    <t>CFO to debt ratio</t>
  </si>
  <si>
    <t>Interest coverage ratio (cash)</t>
  </si>
  <si>
    <t>Capital expenditure ratio</t>
  </si>
  <si>
    <t>Solvency ratio (Market value)</t>
  </si>
  <si>
    <t>Forecast assumptions balanse</t>
  </si>
  <si>
    <t>Forecast assumptions resultat</t>
  </si>
  <si>
    <t>Forecast Cash flow</t>
  </si>
  <si>
    <t>Re (required rate of return E)</t>
  </si>
  <si>
    <t>Rm</t>
  </si>
  <si>
    <t>Rf (riskfree interest rate)</t>
  </si>
  <si>
    <t>Markedets risikopremie (Rm - Rf)</t>
  </si>
  <si>
    <t xml:space="preserve">Rd </t>
  </si>
  <si>
    <t>Corp taxrate nom.</t>
  </si>
  <si>
    <t>Multipler</t>
  </si>
  <si>
    <t>Selvaag</t>
  </si>
  <si>
    <t>Entra</t>
  </si>
  <si>
    <t>Veidekke</t>
  </si>
  <si>
    <t>Thon</t>
  </si>
  <si>
    <t>P/E</t>
  </si>
  <si>
    <t>P/B</t>
  </si>
  <si>
    <t>P/S</t>
  </si>
  <si>
    <t>Faktisk markedsverdi</t>
  </si>
  <si>
    <t>EV/EBITDA</t>
  </si>
  <si>
    <t>Faktisk markedsverdi (31.12.2020)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</si>
</sst>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_-;\(#,##0\)_-;_-* &quot;-&quot;_-;_-@_-"/>
    <numFmt numFmtId="165" formatCode="0.00000%"/>
    <numFmt numFmtId="166" formatCode="_-* #,##0.0000_-;\(#,##0.0000\)_-;_-* &quot;-&quot;_-;_-@_-"/>
    <numFmt numFmtId="167" formatCode="0.0%"/>
    <numFmt numFmtId="168" formatCode="0.0000"/>
    <numFmt numFmtId="169" formatCode="0.000%"/>
    <numFmt numFmtId="170" formatCode="0.0"/>
    <numFmt numFmtId="171" formatCode="0.000"/>
    <numFmt numFmtId="172" formatCode="[$-F800]dddd\,\ mmmm\ dd\,\ yyyy"/>
  </numFmts>
  <fonts count="36" x14ac:knownFonts="1">
    <font>
      <sz val="12"/>
      <color theme="1"/>
      <name val="Calibri"/>
      <family val="2"/>
      <scheme val="minor"/>
    </font>
    <font>
      <b/>
      <sz val="12"/>
      <color theme="1"/>
      <name val="Calibri"/>
      <family val="2"/>
      <scheme val="minor"/>
    </font>
    <font>
      <sz val="16"/>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scheme val="minor"/>
    </font>
    <font>
      <sz val="20"/>
      <color theme="1"/>
      <name val="Calibri"/>
      <family val="2"/>
      <scheme val="minor"/>
    </font>
    <font>
      <sz val="14"/>
      <color theme="1"/>
      <name val="Calibri (Body)"/>
    </font>
    <font>
      <sz val="12"/>
      <color theme="1"/>
      <name val="Calibri"/>
      <family val="2"/>
      <scheme val="minor"/>
    </font>
    <font>
      <sz val="11"/>
      <color rgb="FFC00000"/>
      <name val="Calibri"/>
      <family val="2"/>
      <scheme val="minor"/>
    </font>
    <font>
      <sz val="11"/>
      <color theme="1"/>
      <name val="Calibri"/>
      <family val="2"/>
      <scheme val="minor"/>
    </font>
    <font>
      <b/>
      <sz val="14"/>
      <color theme="1"/>
      <name val="Calibri"/>
      <family val="2"/>
      <scheme val="minor"/>
    </font>
    <font>
      <i/>
      <sz val="11"/>
      <color rgb="FF000000"/>
      <name val="Calibri"/>
      <family val="2"/>
      <scheme val="minor"/>
    </font>
    <font>
      <sz val="11"/>
      <color theme="2" tint="-9.9978637043366805E-2"/>
      <name val="Calibri"/>
      <family val="2"/>
      <scheme val="minor"/>
    </font>
    <font>
      <b/>
      <sz val="11"/>
      <color theme="2" tint="-9.9978637043366805E-2"/>
      <name val="Calibri"/>
      <family val="2"/>
      <scheme val="minor"/>
    </font>
    <font>
      <sz val="12"/>
      <color theme="2" tint="-9.9978637043366805E-2"/>
      <name val="Calibri"/>
      <family val="2"/>
      <scheme val="minor"/>
    </font>
    <font>
      <b/>
      <sz val="12"/>
      <color theme="2" tint="-9.9978637043366805E-2"/>
      <name val="Calibri"/>
      <family val="2"/>
      <scheme val="minor"/>
    </font>
    <font>
      <i/>
      <sz val="11"/>
      <color theme="2" tint="-9.9978637043366805E-2"/>
      <name val="Calibri"/>
      <family val="2"/>
      <scheme val="minor"/>
    </font>
    <font>
      <i/>
      <sz val="11"/>
      <color theme="1"/>
      <name val="Calibri"/>
      <family val="2"/>
      <scheme val="minor"/>
    </font>
    <font>
      <i/>
      <sz val="12"/>
      <color theme="1"/>
      <name val="Calibri"/>
      <family val="2"/>
      <scheme val="minor"/>
    </font>
    <font>
      <sz val="10"/>
      <color theme="1"/>
      <name val="Calibri"/>
      <family val="2"/>
      <scheme val="minor"/>
    </font>
    <font>
      <sz val="12"/>
      <color rgb="FF000000"/>
      <name val="Calibri"/>
      <family val="2"/>
      <scheme val="minor"/>
    </font>
    <font>
      <sz val="12"/>
      <color rgb="FFD0CECE"/>
      <name val="Calibri"/>
      <family val="2"/>
      <scheme val="minor"/>
    </font>
    <font>
      <sz val="10"/>
      <color rgb="FF000000"/>
      <name val="Calibri"/>
      <family val="2"/>
      <scheme val="minor"/>
    </font>
    <font>
      <sz val="10"/>
      <color rgb="FFD0CECE"/>
      <name val="Calibri"/>
      <family val="2"/>
      <scheme val="minor"/>
    </font>
    <font>
      <b/>
      <sz val="10"/>
      <color rgb="FF000000"/>
      <name val="Calibri"/>
      <family val="2"/>
      <scheme val="minor"/>
    </font>
    <font>
      <i/>
      <sz val="10"/>
      <color theme="1"/>
      <name val="Calibri"/>
      <family val="2"/>
      <scheme val="minor"/>
    </font>
    <font>
      <i/>
      <sz val="10"/>
      <color rgb="FF000000"/>
      <name val="Calibri"/>
      <family val="2"/>
      <scheme val="minor"/>
    </font>
    <font>
      <i/>
      <sz val="12"/>
      <color rgb="FF000000"/>
      <name val="Calibri"/>
      <family val="2"/>
      <scheme val="minor"/>
    </font>
    <font>
      <b/>
      <sz val="10"/>
      <color theme="1"/>
      <name val="Calibri"/>
      <family val="2"/>
      <scheme val="minor"/>
    </font>
    <font>
      <b/>
      <sz val="12"/>
      <color theme="0"/>
      <name val="Calibri"/>
      <family val="2"/>
      <scheme val="minor"/>
    </font>
    <font>
      <sz val="10"/>
      <color theme="1"/>
      <name val="Calibri (Body)"/>
    </font>
    <font>
      <i/>
      <sz val="11"/>
      <name val="Calibri"/>
      <family val="2"/>
      <scheme val="minor"/>
    </font>
    <font>
      <sz val="11"/>
      <name val="Calibri"/>
      <family val="2"/>
      <scheme val="minor"/>
    </font>
    <font>
      <b/>
      <sz val="11"/>
      <name val="Calibri"/>
      <family val="2"/>
      <scheme val="minor"/>
    </font>
    <font>
      <sz val="14"/>
      <color theme="0"/>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rgb="FF000000"/>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7970"/>
        <bgColor indexed="64"/>
      </patternFill>
    </fill>
    <fill>
      <patternFill patternType="solid">
        <fgColor rgb="FFFAB1A9"/>
        <bgColor indexed="64"/>
      </patternFill>
    </fill>
    <fill>
      <patternFill patternType="solid">
        <fgColor rgb="FFBA1141"/>
        <bgColor indexed="64"/>
      </patternFill>
    </fill>
    <fill>
      <patternFill patternType="solid">
        <fgColor theme="7" tint="0.59999389629810485"/>
        <bgColor indexed="64"/>
      </patternFill>
    </fill>
  </fills>
  <borders count="38">
    <border>
      <left/>
      <right/>
      <top/>
      <bottom/>
      <diagonal/>
    </border>
    <border>
      <left/>
      <right/>
      <top style="thin">
        <color indexed="64"/>
      </top>
      <bottom/>
      <diagonal/>
    </border>
    <border>
      <left/>
      <right/>
      <top/>
      <bottom style="thin">
        <color indexed="64"/>
      </bottom>
      <diagonal/>
    </border>
    <border>
      <left/>
      <right/>
      <top style="thin">
        <color theme="1"/>
      </top>
      <bottom/>
      <diagonal/>
    </border>
    <border>
      <left/>
      <right/>
      <top style="thin">
        <color theme="1"/>
      </top>
      <bottom style="thin">
        <color theme="1"/>
      </bottom>
      <diagonal/>
    </border>
    <border>
      <left/>
      <right/>
      <top style="thin">
        <color indexed="64"/>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1"/>
      </top>
      <bottom/>
      <diagonal/>
    </border>
    <border>
      <left style="thin">
        <color indexed="64"/>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theme="1"/>
      </left>
      <right style="thin">
        <color theme="1"/>
      </right>
      <top/>
      <bottom style="thin">
        <color indexed="64"/>
      </bottom>
      <diagonal/>
    </border>
    <border>
      <left/>
      <right style="thin">
        <color theme="1"/>
      </right>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indexed="64"/>
      </top>
      <bottom/>
      <diagonal/>
    </border>
    <border>
      <left/>
      <right style="thin">
        <color theme="1"/>
      </right>
      <top style="thin">
        <color indexed="64"/>
      </top>
      <bottom/>
      <diagonal/>
    </border>
    <border>
      <left/>
      <right style="thin">
        <color indexed="64"/>
      </right>
      <top style="thin">
        <color theme="1"/>
      </top>
      <bottom/>
      <diagonal/>
    </border>
  </borders>
  <cellStyleXfs count="2">
    <xf numFmtId="0" fontId="0" fillId="0" borderId="0"/>
    <xf numFmtId="9" fontId="8" fillId="0" borderId="0" applyFont="0" applyFill="0" applyBorder="0" applyAlignment="0" applyProtection="0"/>
  </cellStyleXfs>
  <cellXfs count="562">
    <xf numFmtId="0" fontId="0" fillId="0" borderId="0" xfId="0"/>
    <xf numFmtId="0" fontId="3" fillId="0" borderId="0" xfId="0" applyFont="1"/>
    <xf numFmtId="49" fontId="3" fillId="0" borderId="0" xfId="0" applyNumberFormat="1" applyFont="1" applyAlignment="1">
      <alignment horizontal="center" vertical="center"/>
    </xf>
    <xf numFmtId="164" fontId="3" fillId="0" borderId="0" xfId="0" applyNumberFormat="1" applyFont="1"/>
    <xf numFmtId="0" fontId="4" fillId="0" borderId="1" xfId="0" applyFont="1" applyBorder="1"/>
    <xf numFmtId="49" fontId="3" fillId="0" borderId="1" xfId="0" applyNumberFormat="1" applyFont="1" applyBorder="1" applyAlignment="1">
      <alignment horizontal="center" vertical="center"/>
    </xf>
    <xf numFmtId="164" fontId="4" fillId="0" borderId="1" xfId="0" applyNumberFormat="1" applyFont="1" applyBorder="1"/>
    <xf numFmtId="0" fontId="4" fillId="0" borderId="0" xfId="0" applyFont="1"/>
    <xf numFmtId="164" fontId="4" fillId="0" borderId="0" xfId="0" applyNumberFormat="1" applyFont="1"/>
    <xf numFmtId="0" fontId="1" fillId="0" borderId="0" xfId="0" applyFont="1"/>
    <xf numFmtId="0" fontId="0" fillId="0" borderId="0" xfId="0" applyAlignment="1">
      <alignment horizontal="center"/>
    </xf>
    <xf numFmtId="49" fontId="3" fillId="0" borderId="0" xfId="0" applyNumberFormat="1" applyFont="1" applyAlignment="1">
      <alignment horizontal="left" vertical="center"/>
    </xf>
    <xf numFmtId="164" fontId="0" fillId="0" borderId="0" xfId="0" applyNumberFormat="1"/>
    <xf numFmtId="0" fontId="5" fillId="0" borderId="1" xfId="0" applyFont="1" applyBorder="1"/>
    <xf numFmtId="164" fontId="5" fillId="0" borderId="1" xfId="0" applyNumberFormat="1" applyFont="1" applyBorder="1"/>
    <xf numFmtId="164" fontId="5" fillId="0" borderId="0" xfId="0" applyNumberFormat="1" applyFont="1"/>
    <xf numFmtId="0" fontId="5" fillId="0" borderId="0" xfId="0" applyFont="1"/>
    <xf numFmtId="0" fontId="2" fillId="0" borderId="0" xfId="0" applyFont="1"/>
    <xf numFmtId="0" fontId="5" fillId="0" borderId="0" xfId="0" applyFont="1" applyAlignment="1">
      <alignment horizontal="center"/>
    </xf>
    <xf numFmtId="0" fontId="0" fillId="0" borderId="2" xfId="0" applyBorder="1"/>
    <xf numFmtId="164" fontId="0" fillId="0" borderId="2" xfId="0" applyNumberFormat="1" applyBorder="1"/>
    <xf numFmtId="164" fontId="1" fillId="0" borderId="0" xfId="0" applyNumberFormat="1" applyFont="1"/>
    <xf numFmtId="0" fontId="1" fillId="0" borderId="0" xfId="0" applyFont="1" applyAlignment="1">
      <alignment horizontal="left"/>
    </xf>
    <xf numFmtId="164" fontId="9" fillId="0" borderId="0" xfId="0" applyNumberFormat="1" applyFont="1"/>
    <xf numFmtId="164" fontId="10" fillId="0" borderId="0" xfId="0" applyNumberFormat="1" applyFont="1"/>
    <xf numFmtId="0" fontId="10" fillId="0" borderId="0" xfId="0" applyFont="1"/>
    <xf numFmtId="0" fontId="12" fillId="0" borderId="0" xfId="0" applyFont="1"/>
    <xf numFmtId="0" fontId="9" fillId="0" borderId="0" xfId="0" applyFont="1"/>
    <xf numFmtId="0" fontId="10" fillId="0" borderId="0" xfId="0" quotePrefix="1" applyFont="1"/>
    <xf numFmtId="164" fontId="10" fillId="0" borderId="0" xfId="0" quotePrefix="1" applyNumberFormat="1" applyFont="1"/>
    <xf numFmtId="165" fontId="10" fillId="0" borderId="0" xfId="1" applyNumberFormat="1" applyFont="1"/>
    <xf numFmtId="0" fontId="0" fillId="0" borderId="0" xfId="0" applyAlignment="1">
      <alignment horizontal="right"/>
    </xf>
    <xf numFmtId="0" fontId="13" fillId="0" borderId="0" xfId="0" applyFont="1"/>
    <xf numFmtId="0" fontId="14" fillId="0" borderId="0" xfId="0" applyFont="1"/>
    <xf numFmtId="0" fontId="14" fillId="0" borderId="1" xfId="0" applyFont="1" applyBorder="1" applyAlignment="1">
      <alignment horizontal="center"/>
    </xf>
    <xf numFmtId="0" fontId="15" fillId="0" borderId="0" xfId="0" applyFont="1" applyAlignment="1">
      <alignment horizontal="center"/>
    </xf>
    <xf numFmtId="0" fontId="14" fillId="0" borderId="0" xfId="0" applyFont="1" applyAlignment="1">
      <alignment horizontal="center"/>
    </xf>
    <xf numFmtId="0" fontId="15" fillId="0" borderId="0" xfId="0" applyFont="1"/>
    <xf numFmtId="0" fontId="14" fillId="0" borderId="1" xfId="0" applyFont="1" applyBorder="1"/>
    <xf numFmtId="0" fontId="15" fillId="0" borderId="2" xfId="0" applyFont="1" applyBorder="1" applyAlignment="1">
      <alignment horizontal="center"/>
    </xf>
    <xf numFmtId="0" fontId="16" fillId="0" borderId="0" xfId="0" applyFont="1"/>
    <xf numFmtId="0" fontId="17" fillId="0" borderId="0" xfId="0" applyFont="1" applyAlignment="1">
      <alignment horizontal="center"/>
    </xf>
    <xf numFmtId="49" fontId="13" fillId="0" borderId="0" xfId="0" applyNumberFormat="1" applyFont="1" applyAlignment="1">
      <alignment horizontal="center" vertical="center"/>
    </xf>
    <xf numFmtId="49" fontId="13" fillId="0" borderId="1" xfId="0" applyNumberFormat="1" applyFont="1" applyBorder="1" applyAlignment="1">
      <alignment horizontal="center" vertical="center"/>
    </xf>
    <xf numFmtId="49" fontId="14" fillId="0" borderId="1" xfId="0" applyNumberFormat="1" applyFont="1" applyBorder="1" applyAlignment="1">
      <alignment horizontal="center" vertical="center"/>
    </xf>
    <xf numFmtId="49" fontId="14" fillId="0" borderId="0" xfId="0" applyNumberFormat="1" applyFont="1" applyAlignment="1">
      <alignment horizontal="center" vertical="center"/>
    </xf>
    <xf numFmtId="0" fontId="12" fillId="2" borderId="0" xfId="0" applyFont="1" applyFill="1"/>
    <xf numFmtId="0" fontId="10" fillId="2" borderId="0" xfId="0" applyFont="1" applyFill="1"/>
    <xf numFmtId="164" fontId="3" fillId="2" borderId="0" xfId="0" applyNumberFormat="1" applyFont="1" applyFill="1"/>
    <xf numFmtId="164" fontId="10" fillId="2" borderId="0" xfId="0" applyNumberFormat="1" applyFont="1" applyFill="1"/>
    <xf numFmtId="0" fontId="5" fillId="2" borderId="0" xfId="0" applyFont="1" applyFill="1"/>
    <xf numFmtId="164" fontId="5" fillId="2" borderId="0" xfId="0" applyNumberFormat="1" applyFont="1" applyFill="1"/>
    <xf numFmtId="0" fontId="5" fillId="2" borderId="4" xfId="0" applyFont="1" applyFill="1" applyBorder="1"/>
    <xf numFmtId="0" fontId="5" fillId="2" borderId="3" xfId="0" applyFont="1" applyFill="1" applyBorder="1"/>
    <xf numFmtId="164" fontId="5" fillId="2" borderId="3" xfId="0" applyNumberFormat="1" applyFont="1" applyFill="1" applyBorder="1"/>
    <xf numFmtId="0" fontId="5" fillId="2" borderId="0" xfId="0" applyFont="1" applyFill="1" applyAlignment="1">
      <alignment horizontal="center"/>
    </xf>
    <xf numFmtId="0" fontId="10" fillId="2" borderId="0" xfId="0" applyFont="1" applyFill="1" applyAlignment="1">
      <alignment horizontal="right"/>
    </xf>
    <xf numFmtId="0" fontId="5" fillId="2" borderId="3" xfId="0" applyFont="1" applyFill="1" applyBorder="1" applyAlignment="1">
      <alignment horizontal="left"/>
    </xf>
    <xf numFmtId="164" fontId="5" fillId="2" borderId="4" xfId="0" applyNumberFormat="1" applyFont="1" applyFill="1" applyBorder="1"/>
    <xf numFmtId="0" fontId="5" fillId="2" borderId="0" xfId="0" applyFont="1" applyFill="1" applyAlignment="1">
      <alignment horizontal="left"/>
    </xf>
    <xf numFmtId="0" fontId="5" fillId="2" borderId="4" xfId="0" applyFont="1" applyFill="1" applyBorder="1" applyAlignment="1">
      <alignment horizontal="left"/>
    </xf>
    <xf numFmtId="0" fontId="0" fillId="2" borderId="0" xfId="0" applyFill="1"/>
    <xf numFmtId="0" fontId="3" fillId="2" borderId="0" xfId="0" applyFont="1" applyFill="1"/>
    <xf numFmtId="0" fontId="4" fillId="2" borderId="3" xfId="0" applyFont="1" applyFill="1" applyBorder="1"/>
    <xf numFmtId="0" fontId="4" fillId="2" borderId="5" xfId="0" applyFont="1" applyFill="1" applyBorder="1"/>
    <xf numFmtId="164" fontId="4" fillId="2" borderId="5" xfId="0" applyNumberFormat="1" applyFont="1" applyFill="1" applyBorder="1"/>
    <xf numFmtId="164" fontId="4" fillId="2" borderId="0" xfId="0" applyNumberFormat="1" applyFont="1" applyFill="1"/>
    <xf numFmtId="0" fontId="18" fillId="3" borderId="0" xfId="0" applyFont="1" applyFill="1"/>
    <xf numFmtId="0" fontId="10" fillId="3" borderId="0" xfId="0" applyFont="1" applyFill="1"/>
    <xf numFmtId="0" fontId="12" fillId="3" borderId="0" xfId="0" applyFont="1" applyFill="1"/>
    <xf numFmtId="0" fontId="4" fillId="2" borderId="0" xfId="0" applyFont="1" applyFill="1"/>
    <xf numFmtId="164" fontId="0" fillId="2" borderId="0" xfId="0" applyNumberFormat="1" applyFill="1"/>
    <xf numFmtId="10" fontId="0" fillId="2" borderId="0" xfId="0" applyNumberFormat="1" applyFill="1"/>
    <xf numFmtId="0" fontId="0" fillId="2" borderId="6" xfId="0" applyFill="1" applyBorder="1"/>
    <xf numFmtId="0" fontId="3" fillId="2" borderId="8" xfId="0" applyFont="1" applyFill="1" applyBorder="1"/>
    <xf numFmtId="0" fontId="0" fillId="2" borderId="8" xfId="0" applyFill="1" applyBorder="1"/>
    <xf numFmtId="0" fontId="0" fillId="2" borderId="10" xfId="0" applyFill="1" applyBorder="1"/>
    <xf numFmtId="0" fontId="19" fillId="3" borderId="6" xfId="0" applyFont="1" applyFill="1" applyBorder="1"/>
    <xf numFmtId="0" fontId="19" fillId="3" borderId="3" xfId="0" applyFont="1" applyFill="1" applyBorder="1"/>
    <xf numFmtId="0" fontId="19" fillId="3" borderId="7" xfId="0" applyFont="1" applyFill="1" applyBorder="1"/>
    <xf numFmtId="164" fontId="0" fillId="2" borderId="9" xfId="0" applyNumberFormat="1" applyFill="1" applyBorder="1"/>
    <xf numFmtId="164" fontId="0" fillId="2" borderId="11" xfId="0" applyNumberFormat="1" applyFill="1" applyBorder="1"/>
    <xf numFmtId="164" fontId="0" fillId="2" borderId="12" xfId="0" applyNumberFormat="1" applyFill="1" applyBorder="1"/>
    <xf numFmtId="164" fontId="10" fillId="2" borderId="9" xfId="0" applyNumberFormat="1" applyFont="1" applyFill="1" applyBorder="1"/>
    <xf numFmtId="10" fontId="0" fillId="2" borderId="9" xfId="0" applyNumberFormat="1" applyFill="1" applyBorder="1"/>
    <xf numFmtId="10" fontId="0" fillId="2" borderId="11" xfId="0" applyNumberFormat="1" applyFill="1" applyBorder="1"/>
    <xf numFmtId="10" fontId="0" fillId="2" borderId="12" xfId="0" applyNumberFormat="1" applyFill="1" applyBorder="1"/>
    <xf numFmtId="0" fontId="3" fillId="4" borderId="8" xfId="0" applyFont="1" applyFill="1" applyBorder="1"/>
    <xf numFmtId="164" fontId="10" fillId="4" borderId="0" xfId="0" applyNumberFormat="1" applyFont="1" applyFill="1"/>
    <xf numFmtId="164" fontId="10" fillId="4" borderId="9" xfId="0" applyNumberFormat="1" applyFont="1" applyFill="1" applyBorder="1"/>
    <xf numFmtId="0" fontId="0" fillId="4" borderId="8" xfId="0" applyFill="1" applyBorder="1"/>
    <xf numFmtId="10" fontId="0" fillId="4" borderId="0" xfId="0" applyNumberFormat="1" applyFill="1"/>
    <xf numFmtId="10" fontId="0" fillId="4" borderId="9" xfId="0" applyNumberFormat="1" applyFill="1" applyBorder="1"/>
    <xf numFmtId="0" fontId="19" fillId="3" borderId="3" xfId="0" applyFont="1" applyFill="1" applyBorder="1" applyAlignment="1">
      <alignment horizontal="right"/>
    </xf>
    <xf numFmtId="0" fontId="21" fillId="0" borderId="0" xfId="0" applyFont="1"/>
    <xf numFmtId="0" fontId="22" fillId="0" borderId="0" xfId="0" applyFont="1"/>
    <xf numFmtId="0" fontId="23" fillId="0" borderId="0" xfId="0" applyFont="1"/>
    <xf numFmtId="0" fontId="24" fillId="0" borderId="0" xfId="0" applyFont="1" applyAlignment="1">
      <alignment horizontal="center"/>
    </xf>
    <xf numFmtId="164" fontId="23" fillId="0" borderId="0" xfId="0" applyNumberFormat="1" applyFont="1"/>
    <xf numFmtId="164" fontId="25" fillId="0" borderId="0" xfId="0" applyNumberFormat="1" applyFont="1"/>
    <xf numFmtId="164" fontId="25" fillId="0" borderId="1" xfId="0" applyNumberFormat="1" applyFont="1" applyBorder="1"/>
    <xf numFmtId="0" fontId="20" fillId="0" borderId="0" xfId="0" applyFont="1"/>
    <xf numFmtId="0" fontId="25" fillId="0" borderId="1" xfId="0" applyFont="1" applyBorder="1"/>
    <xf numFmtId="0" fontId="25" fillId="0" borderId="0" xfId="0" applyFont="1"/>
    <xf numFmtId="0" fontId="24" fillId="0" borderId="0" xfId="0" applyFont="1"/>
    <xf numFmtId="0" fontId="0" fillId="5" borderId="0" xfId="0" applyFill="1"/>
    <xf numFmtId="0" fontId="20" fillId="5" borderId="0" xfId="0" applyFont="1" applyFill="1"/>
    <xf numFmtId="0" fontId="23" fillId="0" borderId="0" xfId="0" applyFont="1" applyAlignment="1">
      <alignment horizontal="right"/>
    </xf>
    <xf numFmtId="0" fontId="26" fillId="0" borderId="0" xfId="0" applyFont="1" applyAlignment="1">
      <alignment horizontal="center"/>
    </xf>
    <xf numFmtId="0" fontId="27" fillId="0" borderId="0" xfId="0" applyFont="1"/>
    <xf numFmtId="0" fontId="28" fillId="0" borderId="0" xfId="0" applyFont="1"/>
    <xf numFmtId="164" fontId="20" fillId="0" borderId="0" xfId="0" applyNumberFormat="1" applyFont="1"/>
    <xf numFmtId="164" fontId="29" fillId="0" borderId="0" xfId="0" applyNumberFormat="1" applyFont="1"/>
    <xf numFmtId="0" fontId="25" fillId="0" borderId="0" xfId="0" applyFont="1" applyAlignment="1">
      <alignment horizontal="left"/>
    </xf>
    <xf numFmtId="0" fontId="29" fillId="0" borderId="0" xfId="0" applyFont="1" applyAlignment="1">
      <alignment horizontal="left"/>
    </xf>
    <xf numFmtId="0" fontId="29" fillId="0" borderId="0" xfId="0" applyFont="1"/>
    <xf numFmtId="0" fontId="27" fillId="3" borderId="0" xfId="0" applyFont="1" applyFill="1"/>
    <xf numFmtId="0" fontId="26" fillId="3" borderId="0" xfId="0" applyFont="1" applyFill="1" applyAlignment="1">
      <alignment horizontal="right"/>
    </xf>
    <xf numFmtId="0" fontId="27" fillId="3" borderId="0" xfId="0" applyFont="1" applyFill="1" applyAlignment="1">
      <alignment horizontal="right"/>
    </xf>
    <xf numFmtId="0" fontId="0" fillId="3" borderId="0" xfId="0" applyFill="1"/>
    <xf numFmtId="0" fontId="20" fillId="2" borderId="0" xfId="0" applyFont="1" applyFill="1"/>
    <xf numFmtId="0" fontId="23" fillId="2" borderId="0" xfId="0" applyFont="1" applyFill="1"/>
    <xf numFmtId="0" fontId="24" fillId="2" borderId="0" xfId="0" applyFont="1" applyFill="1" applyAlignment="1">
      <alignment horizontal="center"/>
    </xf>
    <xf numFmtId="164" fontId="23" fillId="2" borderId="0" xfId="0" applyNumberFormat="1" applyFont="1" applyFill="1"/>
    <xf numFmtId="0" fontId="24" fillId="2" borderId="0" xfId="0" applyFont="1" applyFill="1"/>
    <xf numFmtId="0" fontId="25" fillId="2" borderId="3" xfId="0" applyFont="1" applyFill="1" applyBorder="1"/>
    <xf numFmtId="164" fontId="25" fillId="2" borderId="3" xfId="0" applyNumberFormat="1" applyFont="1" applyFill="1" applyBorder="1"/>
    <xf numFmtId="0" fontId="23" fillId="2" borderId="0" xfId="0" applyFont="1" applyFill="1" applyAlignment="1">
      <alignment horizontal="right"/>
    </xf>
    <xf numFmtId="0" fontId="29" fillId="2" borderId="3" xfId="0" applyFont="1" applyFill="1" applyBorder="1" applyAlignment="1">
      <alignment horizontal="left"/>
    </xf>
    <xf numFmtId="164" fontId="29" fillId="2" borderId="3" xfId="0" applyNumberFormat="1" applyFont="1" applyFill="1" applyBorder="1"/>
    <xf numFmtId="0" fontId="29" fillId="2" borderId="3" xfId="0" applyFont="1" applyFill="1" applyBorder="1"/>
    <xf numFmtId="0" fontId="25" fillId="2" borderId="3" xfId="0" applyFont="1" applyFill="1" applyBorder="1" applyAlignment="1">
      <alignment horizontal="left"/>
    </xf>
    <xf numFmtId="0" fontId="25" fillId="2" borderId="4" xfId="0" applyFont="1" applyFill="1" applyBorder="1" applyAlignment="1">
      <alignment horizontal="left"/>
    </xf>
    <xf numFmtId="164" fontId="29" fillId="2" borderId="4" xfId="0" applyNumberFormat="1" applyFont="1" applyFill="1" applyBorder="1"/>
    <xf numFmtId="0" fontId="29" fillId="2" borderId="4" xfId="0" applyFont="1" applyFill="1" applyBorder="1"/>
    <xf numFmtId="164" fontId="23" fillId="2" borderId="0" xfId="0" applyNumberFormat="1" applyFont="1" applyFill="1" applyAlignment="1">
      <alignment horizontal="right"/>
    </xf>
    <xf numFmtId="164" fontId="29" fillId="2" borderId="3" xfId="0" applyNumberFormat="1" applyFont="1" applyFill="1" applyBorder="1" applyAlignment="1">
      <alignment horizontal="right"/>
    </xf>
    <xf numFmtId="0" fontId="20" fillId="2" borderId="0" xfId="0" applyFont="1" applyFill="1" applyAlignment="1">
      <alignment horizontal="right"/>
    </xf>
    <xf numFmtId="164" fontId="29" fillId="2" borderId="4" xfId="0" applyNumberFormat="1" applyFont="1" applyFill="1" applyBorder="1" applyAlignment="1">
      <alignment horizontal="right"/>
    </xf>
    <xf numFmtId="164" fontId="0" fillId="2" borderId="3" xfId="0" applyNumberFormat="1" applyFill="1" applyBorder="1"/>
    <xf numFmtId="164" fontId="0" fillId="2" borderId="7" xfId="0" applyNumberFormat="1" applyFill="1" applyBorder="1"/>
    <xf numFmtId="164" fontId="0" fillId="4" borderId="0" xfId="0" applyNumberFormat="1" applyFill="1"/>
    <xf numFmtId="164" fontId="0" fillId="4" borderId="9" xfId="0" applyNumberFormat="1" applyFill="1" applyBorder="1"/>
    <xf numFmtId="0" fontId="30" fillId="5" borderId="0" xfId="0" applyFont="1" applyFill="1"/>
    <xf numFmtId="9" fontId="0" fillId="0" borderId="0" xfId="1" applyFont="1"/>
    <xf numFmtId="166" fontId="0" fillId="0" borderId="0" xfId="0" applyNumberFormat="1"/>
    <xf numFmtId="3" fontId="0" fillId="0" borderId="0" xfId="0" applyNumberFormat="1"/>
    <xf numFmtId="167" fontId="0" fillId="0" borderId="0" xfId="1" applyNumberFormat="1" applyFont="1"/>
    <xf numFmtId="10" fontId="0" fillId="0" borderId="0" xfId="1" applyNumberFormat="1" applyFont="1"/>
    <xf numFmtId="10" fontId="1" fillId="0" borderId="0" xfId="1" applyNumberFormat="1" applyFont="1"/>
    <xf numFmtId="0" fontId="20" fillId="3" borderId="0" xfId="0" applyFont="1" applyFill="1"/>
    <xf numFmtId="2" fontId="0" fillId="0" borderId="0" xfId="1" applyNumberFormat="1" applyFont="1"/>
    <xf numFmtId="10" fontId="0" fillId="0" borderId="0" xfId="0" applyNumberFormat="1"/>
    <xf numFmtId="3" fontId="1" fillId="0" borderId="0" xfId="0" applyNumberFormat="1" applyFont="1"/>
    <xf numFmtId="10" fontId="8" fillId="0" borderId="0" xfId="1" applyNumberFormat="1" applyFont="1"/>
    <xf numFmtId="9" fontId="1" fillId="0" borderId="0" xfId="1" applyFont="1"/>
    <xf numFmtId="164" fontId="10" fillId="2" borderId="11" xfId="0" applyNumberFormat="1" applyFont="1" applyFill="1" applyBorder="1"/>
    <xf numFmtId="9" fontId="0" fillId="2" borderId="0" xfId="1" applyFont="1" applyFill="1"/>
    <xf numFmtId="167" fontId="1" fillId="0" borderId="0" xfId="1" applyNumberFormat="1" applyFont="1"/>
    <xf numFmtId="169" fontId="1" fillId="0" borderId="0" xfId="1" applyNumberFormat="1" applyFont="1"/>
    <xf numFmtId="0" fontId="18" fillId="3" borderId="0" xfId="0" applyFont="1" applyFill="1" applyAlignment="1">
      <alignment horizontal="center"/>
    </xf>
    <xf numFmtId="0" fontId="19" fillId="3" borderId="0" xfId="0" applyFont="1" applyFill="1"/>
    <xf numFmtId="0" fontId="3" fillId="0" borderId="1" xfId="0" applyFont="1" applyBorder="1"/>
    <xf numFmtId="0" fontId="17" fillId="2" borderId="0" xfId="0" applyFont="1" applyFill="1" applyAlignment="1">
      <alignment horizontal="center"/>
    </xf>
    <xf numFmtId="0" fontId="18" fillId="2" borderId="0" xfId="0" applyFont="1" applyFill="1" applyAlignment="1">
      <alignment horizontal="center"/>
    </xf>
    <xf numFmtId="0" fontId="19" fillId="2" borderId="0" xfId="0" applyFont="1" applyFill="1"/>
    <xf numFmtId="49" fontId="13" fillId="2" borderId="0" xfId="0" applyNumberFormat="1" applyFont="1" applyFill="1" applyAlignment="1">
      <alignment horizontal="center" vertical="center"/>
    </xf>
    <xf numFmtId="164" fontId="10" fillId="2" borderId="12" xfId="0" applyNumberFormat="1" applyFont="1" applyFill="1" applyBorder="1"/>
    <xf numFmtId="0" fontId="3" fillId="2" borderId="10" xfId="0" applyFont="1" applyFill="1" applyBorder="1"/>
    <xf numFmtId="164" fontId="1" fillId="4" borderId="3" xfId="0" applyNumberFormat="1" applyFont="1" applyFill="1" applyBorder="1"/>
    <xf numFmtId="0" fontId="4" fillId="4" borderId="3" xfId="0" applyFont="1" applyFill="1" applyBorder="1"/>
    <xf numFmtId="164" fontId="4" fillId="4" borderId="3" xfId="0" applyNumberFormat="1" applyFont="1" applyFill="1" applyBorder="1"/>
    <xf numFmtId="168" fontId="0" fillId="0" borderId="0" xfId="0" applyNumberFormat="1"/>
    <xf numFmtId="0" fontId="0" fillId="4" borderId="6" xfId="0" applyFill="1" applyBorder="1"/>
    <xf numFmtId="0" fontId="0" fillId="4" borderId="3" xfId="0" applyFill="1" applyBorder="1"/>
    <xf numFmtId="0" fontId="20" fillId="4" borderId="3" xfId="0" applyFont="1" applyFill="1" applyBorder="1"/>
    <xf numFmtId="0" fontId="20" fillId="4" borderId="7" xfId="0" applyFont="1" applyFill="1" applyBorder="1"/>
    <xf numFmtId="10" fontId="0" fillId="2" borderId="8" xfId="0" applyNumberFormat="1" applyFill="1" applyBorder="1"/>
    <xf numFmtId="10" fontId="0" fillId="4" borderId="8" xfId="1" applyNumberFormat="1" applyFont="1" applyFill="1" applyBorder="1"/>
    <xf numFmtId="10" fontId="0" fillId="4" borderId="0" xfId="1" applyNumberFormat="1" applyFont="1" applyFill="1" applyBorder="1"/>
    <xf numFmtId="10" fontId="0" fillId="4" borderId="9" xfId="1" applyNumberFormat="1" applyFont="1" applyFill="1" applyBorder="1"/>
    <xf numFmtId="170" fontId="0" fillId="2" borderId="0" xfId="0" applyNumberFormat="1" applyFill="1"/>
    <xf numFmtId="170" fontId="0" fillId="2" borderId="9" xfId="0" applyNumberFormat="1" applyFill="1" applyBorder="1"/>
    <xf numFmtId="1" fontId="0" fillId="4" borderId="0" xfId="0" applyNumberFormat="1" applyFill="1"/>
    <xf numFmtId="1" fontId="0" fillId="4" borderId="9" xfId="0" applyNumberFormat="1" applyFill="1" applyBorder="1"/>
    <xf numFmtId="1" fontId="0" fillId="2" borderId="11" xfId="0" applyNumberFormat="1" applyFill="1" applyBorder="1"/>
    <xf numFmtId="1" fontId="0" fillId="2" borderId="12" xfId="0" applyNumberFormat="1" applyFill="1" applyBorder="1"/>
    <xf numFmtId="0" fontId="0" fillId="3" borderId="6" xfId="0" applyFill="1" applyBorder="1"/>
    <xf numFmtId="0" fontId="0" fillId="3" borderId="3" xfId="0" applyFill="1" applyBorder="1"/>
    <xf numFmtId="10" fontId="0" fillId="2" borderId="8" xfId="1" applyNumberFormat="1" applyFont="1" applyFill="1" applyBorder="1"/>
    <xf numFmtId="10" fontId="0" fillId="2" borderId="0" xfId="1" applyNumberFormat="1" applyFont="1" applyFill="1" applyBorder="1"/>
    <xf numFmtId="10" fontId="0" fillId="2" borderId="9" xfId="1" applyNumberFormat="1" applyFont="1" applyFill="1" applyBorder="1"/>
    <xf numFmtId="10" fontId="0" fillId="4" borderId="10" xfId="0" applyNumberFormat="1" applyFill="1" applyBorder="1"/>
    <xf numFmtId="3" fontId="0" fillId="4" borderId="11" xfId="0" applyNumberFormat="1" applyFill="1" applyBorder="1"/>
    <xf numFmtId="3" fontId="0" fillId="4" borderId="12" xfId="0" applyNumberFormat="1" applyFill="1" applyBorder="1"/>
    <xf numFmtId="0" fontId="20" fillId="2" borderId="0" xfId="0" applyFont="1" applyFill="1" applyAlignment="1">
      <alignment vertical="top" wrapText="1"/>
    </xf>
    <xf numFmtId="0" fontId="20" fillId="2" borderId="0" xfId="0" applyFont="1" applyFill="1" applyAlignment="1">
      <alignment horizontal="left" wrapText="1"/>
    </xf>
    <xf numFmtId="0" fontId="0" fillId="0" borderId="0" xfId="0" applyAlignment="1">
      <alignment wrapText="1"/>
    </xf>
    <xf numFmtId="0" fontId="0" fillId="0" borderId="15" xfId="0" applyBorder="1"/>
    <xf numFmtId="0" fontId="0" fillId="0" borderId="16" xfId="0" applyBorder="1"/>
    <xf numFmtId="0" fontId="0" fillId="0" borderId="17" xfId="0" applyBorder="1"/>
    <xf numFmtId="0" fontId="0" fillId="4" borderId="0" xfId="0" applyFill="1"/>
    <xf numFmtId="3" fontId="0" fillId="2" borderId="0" xfId="0" applyNumberFormat="1" applyFill="1"/>
    <xf numFmtId="0" fontId="0" fillId="3" borderId="13" xfId="0" applyFill="1" applyBorder="1"/>
    <xf numFmtId="0" fontId="0" fillId="3" borderId="1" xfId="0" applyFill="1" applyBorder="1"/>
    <xf numFmtId="0" fontId="0" fillId="3" borderId="14" xfId="0" applyFill="1" applyBorder="1"/>
    <xf numFmtId="10" fontId="0" fillId="2" borderId="15" xfId="0" applyNumberFormat="1" applyFill="1" applyBorder="1"/>
    <xf numFmtId="10" fontId="0" fillId="2" borderId="16" xfId="0" applyNumberFormat="1" applyFill="1" applyBorder="1"/>
    <xf numFmtId="10" fontId="0" fillId="4" borderId="15" xfId="0" applyNumberFormat="1" applyFill="1" applyBorder="1"/>
    <xf numFmtId="10" fontId="0" fillId="4" borderId="16" xfId="0" applyNumberFormat="1" applyFill="1" applyBorder="1"/>
    <xf numFmtId="3" fontId="0" fillId="2" borderId="16" xfId="0" applyNumberFormat="1" applyFill="1" applyBorder="1"/>
    <xf numFmtId="3" fontId="0" fillId="4" borderId="0" xfId="0" applyNumberFormat="1" applyFill="1"/>
    <xf numFmtId="3" fontId="0" fillId="4" borderId="16" xfId="0" applyNumberFormat="1" applyFill="1" applyBorder="1"/>
    <xf numFmtId="9" fontId="0" fillId="2" borderId="0" xfId="1" applyFont="1" applyFill="1" applyBorder="1"/>
    <xf numFmtId="9" fontId="0" fillId="2" borderId="16" xfId="1" applyFont="1" applyFill="1" applyBorder="1"/>
    <xf numFmtId="10" fontId="0" fillId="4" borderId="17" xfId="0" applyNumberFormat="1" applyFill="1" applyBorder="1"/>
    <xf numFmtId="0" fontId="0" fillId="4" borderId="2" xfId="0" applyFill="1" applyBorder="1"/>
    <xf numFmtId="0" fontId="0" fillId="4" borderId="18" xfId="0" applyFill="1" applyBorder="1"/>
    <xf numFmtId="9" fontId="0" fillId="0" borderId="2" xfId="1" applyFont="1" applyBorder="1"/>
    <xf numFmtId="10" fontId="0" fillId="0" borderId="2" xfId="1" applyNumberFormat="1" applyFont="1" applyBorder="1"/>
    <xf numFmtId="9" fontId="0" fillId="0" borderId="0" xfId="1" applyFont="1" applyBorder="1"/>
    <xf numFmtId="10" fontId="0" fillId="0" borderId="0" xfId="1" applyNumberFormat="1" applyFont="1" applyBorder="1"/>
    <xf numFmtId="0" fontId="31" fillId="0" borderId="0" xfId="0" applyFont="1"/>
    <xf numFmtId="0" fontId="0" fillId="3" borderId="14" xfId="0" applyFill="1" applyBorder="1" applyAlignment="1">
      <alignment horizontal="right"/>
    </xf>
    <xf numFmtId="10" fontId="0" fillId="0" borderId="18" xfId="0" applyNumberFormat="1" applyBorder="1"/>
    <xf numFmtId="3" fontId="0" fillId="0" borderId="16" xfId="0" applyNumberFormat="1" applyBorder="1"/>
    <xf numFmtId="10" fontId="0" fillId="0" borderId="18" xfId="1" applyNumberFormat="1" applyFont="1" applyBorder="1"/>
    <xf numFmtId="10" fontId="0" fillId="0" borderId="16" xfId="0" applyNumberFormat="1" applyBorder="1"/>
    <xf numFmtId="3" fontId="0" fillId="0" borderId="2" xfId="0" applyNumberFormat="1" applyBorder="1"/>
    <xf numFmtId="9" fontId="0" fillId="0" borderId="18" xfId="1" applyFont="1" applyBorder="1"/>
    <xf numFmtId="10" fontId="0" fillId="0" borderId="2" xfId="0" applyNumberFormat="1" applyBorder="1"/>
    <xf numFmtId="9" fontId="0" fillId="0" borderId="0" xfId="0" applyNumberFormat="1"/>
    <xf numFmtId="0" fontId="0" fillId="4" borderId="15" xfId="0" applyFill="1" applyBorder="1"/>
    <xf numFmtId="9" fontId="0" fillId="4" borderId="0" xfId="0" applyNumberFormat="1" applyFill="1"/>
    <xf numFmtId="0" fontId="0" fillId="2" borderId="15" xfId="0" applyFill="1" applyBorder="1"/>
    <xf numFmtId="9" fontId="0" fillId="2" borderId="0" xfId="0" applyNumberFormat="1" applyFill="1"/>
    <xf numFmtId="0" fontId="0" fillId="2" borderId="17" xfId="0" applyFill="1" applyBorder="1"/>
    <xf numFmtId="10" fontId="0" fillId="2" borderId="2" xfId="0" applyNumberFormat="1" applyFill="1" applyBorder="1"/>
    <xf numFmtId="0" fontId="0" fillId="2" borderId="1" xfId="0" applyFill="1" applyBorder="1"/>
    <xf numFmtId="0" fontId="0" fillId="3" borderId="13" xfId="0" applyFill="1" applyBorder="1" applyAlignment="1">
      <alignment horizontal="right"/>
    </xf>
    <xf numFmtId="0" fontId="0" fillId="3" borderId="1" xfId="0" applyFill="1" applyBorder="1" applyAlignment="1">
      <alignment horizontal="right"/>
    </xf>
    <xf numFmtId="2" fontId="0" fillId="0" borderId="0" xfId="0" applyNumberFormat="1"/>
    <xf numFmtId="164" fontId="3" fillId="2" borderId="15" xfId="0" applyNumberFormat="1" applyFont="1" applyFill="1" applyBorder="1"/>
    <xf numFmtId="164" fontId="0" fillId="2" borderId="15" xfId="0" applyNumberFormat="1" applyFill="1" applyBorder="1"/>
    <xf numFmtId="164" fontId="10" fillId="2" borderId="0" xfId="0" applyNumberFormat="1" applyFont="1" applyFill="1" applyAlignment="1">
      <alignment horizontal="right"/>
    </xf>
    <xf numFmtId="0" fontId="19" fillId="3" borderId="13" xfId="0" applyFont="1" applyFill="1" applyBorder="1"/>
    <xf numFmtId="0" fontId="19" fillId="3" borderId="1" xfId="0" applyFont="1" applyFill="1" applyBorder="1" applyAlignment="1">
      <alignment horizontal="right"/>
    </xf>
    <xf numFmtId="0" fontId="19" fillId="3" borderId="1" xfId="0" applyFont="1" applyFill="1" applyBorder="1"/>
    <xf numFmtId="0" fontId="3" fillId="2" borderId="15" xfId="0" applyFont="1" applyFill="1" applyBorder="1"/>
    <xf numFmtId="0" fontId="10" fillId="4" borderId="15" xfId="0" applyFont="1" applyFill="1" applyBorder="1"/>
    <xf numFmtId="0" fontId="10" fillId="2" borderId="15" xfId="0" applyFont="1" applyFill="1" applyBorder="1"/>
    <xf numFmtId="164" fontId="10" fillId="2" borderId="16" xfId="0" applyNumberFormat="1" applyFont="1" applyFill="1" applyBorder="1"/>
    <xf numFmtId="164" fontId="10" fillId="2" borderId="2" xfId="0" applyNumberFormat="1" applyFont="1" applyFill="1" applyBorder="1"/>
    <xf numFmtId="164" fontId="10" fillId="2" borderId="25" xfId="0" applyNumberFormat="1" applyFont="1" applyFill="1" applyBorder="1" applyAlignment="1">
      <alignment horizontal="right"/>
    </xf>
    <xf numFmtId="164" fontId="10" fillId="4" borderId="25" xfId="0" applyNumberFormat="1" applyFont="1" applyFill="1" applyBorder="1"/>
    <xf numFmtId="164" fontId="10" fillId="2" borderId="25" xfId="0" applyNumberFormat="1" applyFont="1" applyFill="1" applyBorder="1"/>
    <xf numFmtId="164" fontId="10" fillId="2" borderId="26" xfId="0" applyNumberFormat="1" applyFont="1" applyFill="1" applyBorder="1"/>
    <xf numFmtId="0" fontId="18" fillId="3" borderId="13" xfId="0" applyFont="1" applyFill="1" applyBorder="1"/>
    <xf numFmtId="0" fontId="18" fillId="3" borderId="1" xfId="0" applyFont="1" applyFill="1" applyBorder="1" applyAlignment="1">
      <alignment horizontal="right"/>
    </xf>
    <xf numFmtId="0" fontId="18" fillId="3" borderId="1" xfId="0" applyFont="1" applyFill="1" applyBorder="1"/>
    <xf numFmtId="0" fontId="18" fillId="6" borderId="1" xfId="0" applyFont="1" applyFill="1" applyBorder="1" applyAlignment="1">
      <alignment horizontal="right"/>
    </xf>
    <xf numFmtId="0" fontId="18" fillId="6" borderId="24" xfId="0" applyFont="1" applyFill="1" applyBorder="1" applyAlignment="1">
      <alignment horizontal="right"/>
    </xf>
    <xf numFmtId="164" fontId="3" fillId="2" borderId="25" xfId="0" applyNumberFormat="1" applyFont="1" applyFill="1" applyBorder="1"/>
    <xf numFmtId="0" fontId="1" fillId="4" borderId="23" xfId="0" applyFont="1" applyFill="1" applyBorder="1"/>
    <xf numFmtId="164" fontId="1" fillId="4" borderId="27" xfId="0" applyNumberFormat="1" applyFont="1" applyFill="1" applyBorder="1"/>
    <xf numFmtId="0" fontId="4" fillId="4" borderId="23" xfId="0" applyFont="1" applyFill="1" applyBorder="1"/>
    <xf numFmtId="164" fontId="0" fillId="2" borderId="25" xfId="0" applyNumberFormat="1" applyFill="1" applyBorder="1"/>
    <xf numFmtId="0" fontId="0" fillId="2" borderId="25" xfId="0" applyFill="1" applyBorder="1"/>
    <xf numFmtId="0" fontId="4" fillId="4" borderId="28" xfId="0" applyFont="1" applyFill="1" applyBorder="1"/>
    <xf numFmtId="164" fontId="1" fillId="4" borderId="29" xfId="0" applyNumberFormat="1" applyFont="1" applyFill="1" applyBorder="1"/>
    <xf numFmtId="164" fontId="1" fillId="4" borderId="30" xfId="0" applyNumberFormat="1" applyFont="1" applyFill="1" applyBorder="1"/>
    <xf numFmtId="0" fontId="20" fillId="2" borderId="0" xfId="0" applyFont="1" applyFill="1" applyAlignment="1">
      <alignment wrapText="1"/>
    </xf>
    <xf numFmtId="0" fontId="19" fillId="6" borderId="1" xfId="0" applyFont="1" applyFill="1" applyBorder="1" applyAlignment="1">
      <alignment horizontal="right"/>
    </xf>
    <xf numFmtId="0" fontId="19" fillId="6" borderId="24" xfId="0" applyFont="1" applyFill="1" applyBorder="1" applyAlignment="1">
      <alignment horizontal="right"/>
    </xf>
    <xf numFmtId="164" fontId="10" fillId="2" borderId="31" xfId="0" applyNumberFormat="1" applyFont="1" applyFill="1" applyBorder="1"/>
    <xf numFmtId="10" fontId="0" fillId="2" borderId="31" xfId="0" applyNumberFormat="1" applyFill="1" applyBorder="1"/>
    <xf numFmtId="10" fontId="0" fillId="2" borderId="0" xfId="1" applyNumberFormat="1" applyFont="1" applyFill="1"/>
    <xf numFmtId="10" fontId="0" fillId="2" borderId="2" xfId="1" applyNumberFormat="1" applyFont="1" applyFill="1" applyBorder="1"/>
    <xf numFmtId="10" fontId="0" fillId="2" borderId="18" xfId="1" applyNumberFormat="1" applyFont="1" applyFill="1" applyBorder="1"/>
    <xf numFmtId="0" fontId="0" fillId="4" borderId="17" xfId="0" applyFill="1" applyBorder="1"/>
    <xf numFmtId="0" fontId="1" fillId="2" borderId="0" xfId="0" applyFont="1" applyFill="1"/>
    <xf numFmtId="10" fontId="0" fillId="2" borderId="15" xfId="1" applyNumberFormat="1" applyFont="1" applyFill="1" applyBorder="1"/>
    <xf numFmtId="10" fontId="0" fillId="2" borderId="16" xfId="1" applyNumberFormat="1" applyFont="1" applyFill="1" applyBorder="1"/>
    <xf numFmtId="0" fontId="0" fillId="2" borderId="0" xfId="0" applyFill="1" applyAlignment="1">
      <alignment wrapText="1"/>
    </xf>
    <xf numFmtId="0" fontId="0" fillId="2" borderId="16" xfId="0" applyFill="1" applyBorder="1"/>
    <xf numFmtId="0" fontId="0" fillId="2" borderId="2" xfId="0" applyFill="1" applyBorder="1"/>
    <xf numFmtId="0" fontId="0" fillId="2" borderId="18" xfId="0" applyFill="1" applyBorder="1"/>
    <xf numFmtId="164" fontId="4" fillId="4" borderId="1" xfId="0" applyNumberFormat="1" applyFont="1" applyFill="1" applyBorder="1"/>
    <xf numFmtId="164" fontId="4" fillId="4" borderId="0" xfId="0" applyNumberFormat="1" applyFont="1" applyFill="1"/>
    <xf numFmtId="0" fontId="18" fillId="2" borderId="0" xfId="0" applyFont="1" applyFill="1"/>
    <xf numFmtId="10" fontId="0" fillId="2" borderId="32" xfId="0" applyNumberFormat="1" applyFill="1" applyBorder="1"/>
    <xf numFmtId="9" fontId="0" fillId="4" borderId="0" xfId="1" applyFont="1" applyFill="1"/>
    <xf numFmtId="9" fontId="0" fillId="4" borderId="0" xfId="1" applyFont="1" applyFill="1" applyBorder="1"/>
    <xf numFmtId="9" fontId="0" fillId="4" borderId="16" xfId="1" applyFont="1" applyFill="1" applyBorder="1"/>
    <xf numFmtId="0" fontId="1" fillId="2" borderId="17" xfId="0" applyFont="1" applyFill="1" applyBorder="1"/>
    <xf numFmtId="0" fontId="0" fillId="2" borderId="0" xfId="0" applyFill="1" applyAlignment="1">
      <alignment horizontal="left"/>
    </xf>
    <xf numFmtId="0" fontId="20" fillId="3" borderId="24" xfId="0" applyFont="1" applyFill="1" applyBorder="1" applyAlignment="1">
      <alignment horizontal="right"/>
    </xf>
    <xf numFmtId="3" fontId="0" fillId="0" borderId="25" xfId="0" applyNumberFormat="1" applyBorder="1"/>
    <xf numFmtId="10" fontId="1" fillId="0" borderId="25" xfId="1" applyNumberFormat="1" applyFont="1" applyBorder="1"/>
    <xf numFmtId="10" fontId="1" fillId="0" borderId="26" xfId="1" applyNumberFormat="1" applyFont="1" applyBorder="1"/>
    <xf numFmtId="0" fontId="20" fillId="3" borderId="1" xfId="0" applyFont="1" applyFill="1" applyBorder="1"/>
    <xf numFmtId="0" fontId="20" fillId="3" borderId="14" xfId="0" applyFont="1" applyFill="1" applyBorder="1" applyAlignment="1">
      <alignment horizontal="right"/>
    </xf>
    <xf numFmtId="0" fontId="1" fillId="0" borderId="15" xfId="0" applyFont="1" applyBorder="1"/>
    <xf numFmtId="9" fontId="1" fillId="0" borderId="0" xfId="1" applyFont="1" applyBorder="1"/>
    <xf numFmtId="10" fontId="1" fillId="0" borderId="0" xfId="1" applyNumberFormat="1" applyFont="1" applyBorder="1"/>
    <xf numFmtId="10" fontId="1" fillId="0" borderId="16" xfId="1" applyNumberFormat="1" applyFont="1" applyBorder="1"/>
    <xf numFmtId="0" fontId="1" fillId="0" borderId="17" xfId="0" applyFont="1" applyBorder="1"/>
    <xf numFmtId="9" fontId="1" fillId="0" borderId="2" xfId="1" applyFont="1" applyBorder="1"/>
    <xf numFmtId="10" fontId="1" fillId="0" borderId="2" xfId="1" applyNumberFormat="1" applyFont="1" applyBorder="1"/>
    <xf numFmtId="10" fontId="1" fillId="0" borderId="18" xfId="1" applyNumberFormat="1" applyFont="1" applyBorder="1"/>
    <xf numFmtId="0" fontId="1" fillId="0" borderId="2" xfId="0" applyFont="1" applyBorder="1"/>
    <xf numFmtId="0" fontId="0" fillId="2" borderId="0" xfId="0" applyFill="1" applyAlignment="1">
      <alignment horizontal="right"/>
    </xf>
    <xf numFmtId="3" fontId="0" fillId="2" borderId="2" xfId="0" applyNumberFormat="1" applyFill="1" applyBorder="1"/>
    <xf numFmtId="3" fontId="0" fillId="2" borderId="18" xfId="0" applyNumberFormat="1" applyFill="1" applyBorder="1"/>
    <xf numFmtId="9" fontId="0" fillId="2" borderId="2" xfId="1" applyFont="1" applyFill="1" applyBorder="1"/>
    <xf numFmtId="9" fontId="0" fillId="2" borderId="18" xfId="1" applyFont="1" applyFill="1" applyBorder="1"/>
    <xf numFmtId="3" fontId="0" fillId="4" borderId="2" xfId="0" applyNumberFormat="1" applyFill="1" applyBorder="1"/>
    <xf numFmtId="3" fontId="0" fillId="4" borderId="18" xfId="0" applyNumberFormat="1" applyFill="1" applyBorder="1"/>
    <xf numFmtId="0" fontId="0" fillId="4" borderId="16" xfId="0" applyFill="1" applyBorder="1"/>
    <xf numFmtId="9" fontId="0" fillId="4" borderId="2" xfId="1" applyFont="1" applyFill="1" applyBorder="1"/>
    <xf numFmtId="9" fontId="0" fillId="4" borderId="18" xfId="1" applyFont="1" applyFill="1" applyBorder="1"/>
    <xf numFmtId="0" fontId="19" fillId="6" borderId="7" xfId="0" applyFont="1" applyFill="1" applyBorder="1" applyAlignment="1">
      <alignment horizontal="right"/>
    </xf>
    <xf numFmtId="10" fontId="0" fillId="4" borderId="16" xfId="1" applyNumberFormat="1" applyFont="1" applyFill="1" applyBorder="1"/>
    <xf numFmtId="0" fontId="10" fillId="7" borderId="13" xfId="0" applyFont="1" applyFill="1" applyBorder="1"/>
    <xf numFmtId="0" fontId="10" fillId="7" borderId="1" xfId="0" applyFont="1" applyFill="1" applyBorder="1"/>
    <xf numFmtId="0" fontId="10" fillId="7" borderId="14" xfId="0" applyFont="1" applyFill="1" applyBorder="1" applyAlignment="1">
      <alignment horizontal="center"/>
    </xf>
    <xf numFmtId="0" fontId="0" fillId="7" borderId="13" xfId="0" applyFill="1" applyBorder="1"/>
    <xf numFmtId="0" fontId="0" fillId="7" borderId="1" xfId="0" applyFill="1" applyBorder="1"/>
    <xf numFmtId="0" fontId="0" fillId="7" borderId="14" xfId="0" applyFill="1" applyBorder="1" applyAlignment="1">
      <alignment horizontal="right"/>
    </xf>
    <xf numFmtId="0" fontId="0" fillId="7" borderId="14" xfId="0" applyFill="1" applyBorder="1" applyAlignment="1">
      <alignment horizontal="center"/>
    </xf>
    <xf numFmtId="0" fontId="0" fillId="0" borderId="0" xfId="0" quotePrefix="1"/>
    <xf numFmtId="0" fontId="1" fillId="0" borderId="0" xfId="0" quotePrefix="1" applyFont="1"/>
    <xf numFmtId="164" fontId="5" fillId="4" borderId="3" xfId="0" applyNumberFormat="1" applyFont="1" applyFill="1" applyBorder="1"/>
    <xf numFmtId="164" fontId="5" fillId="4" borderId="1" xfId="0" applyNumberFormat="1" applyFont="1" applyFill="1" applyBorder="1"/>
    <xf numFmtId="0" fontId="0" fillId="7" borderId="0" xfId="0" applyFill="1"/>
    <xf numFmtId="164" fontId="3" fillId="2" borderId="16" xfId="0" applyNumberFormat="1" applyFont="1" applyFill="1" applyBorder="1"/>
    <xf numFmtId="164" fontId="4" fillId="4" borderId="14" xfId="0" applyNumberFormat="1" applyFont="1" applyFill="1" applyBorder="1"/>
    <xf numFmtId="164" fontId="5" fillId="4" borderId="21" xfId="0" applyNumberFormat="1" applyFont="1" applyFill="1" applyBorder="1"/>
    <xf numFmtId="164" fontId="4" fillId="4" borderId="21" xfId="0" applyNumberFormat="1" applyFont="1" applyFill="1" applyBorder="1"/>
    <xf numFmtId="164" fontId="4" fillId="4" borderId="22" xfId="0" applyNumberFormat="1" applyFont="1" applyFill="1" applyBorder="1"/>
    <xf numFmtId="0" fontId="18" fillId="7" borderId="2" xfId="0" applyFont="1" applyFill="1" applyBorder="1" applyAlignment="1">
      <alignment horizontal="right"/>
    </xf>
    <xf numFmtId="0" fontId="10" fillId="7" borderId="2" xfId="0" applyFont="1" applyFill="1" applyBorder="1"/>
    <xf numFmtId="0" fontId="10" fillId="7" borderId="18" xfId="0" applyFont="1" applyFill="1" applyBorder="1"/>
    <xf numFmtId="0" fontId="10" fillId="7" borderId="17" xfId="0" applyFont="1" applyFill="1" applyBorder="1"/>
    <xf numFmtId="164" fontId="4" fillId="4" borderId="13" xfId="0" applyNumberFormat="1" applyFont="1" applyFill="1" applyBorder="1"/>
    <xf numFmtId="164" fontId="4" fillId="4" borderId="20" xfId="0" applyNumberFormat="1" applyFont="1" applyFill="1" applyBorder="1"/>
    <xf numFmtId="0" fontId="18" fillId="7" borderId="17" xfId="0" applyFont="1" applyFill="1" applyBorder="1" applyAlignment="1">
      <alignment horizontal="right"/>
    </xf>
    <xf numFmtId="0" fontId="18" fillId="7" borderId="18" xfId="0" applyFont="1" applyFill="1" applyBorder="1" applyAlignment="1">
      <alignment horizontal="right"/>
    </xf>
    <xf numFmtId="164" fontId="5" fillId="4" borderId="13" xfId="0" applyNumberFormat="1" applyFont="1" applyFill="1" applyBorder="1"/>
    <xf numFmtId="164" fontId="5" fillId="4" borderId="14" xfId="0" applyNumberFormat="1" applyFont="1" applyFill="1" applyBorder="1"/>
    <xf numFmtId="164" fontId="10" fillId="2" borderId="15" xfId="0" applyNumberFormat="1" applyFont="1" applyFill="1" applyBorder="1"/>
    <xf numFmtId="164" fontId="5" fillId="4" borderId="20" xfId="0" applyNumberFormat="1" applyFont="1" applyFill="1" applyBorder="1"/>
    <xf numFmtId="164" fontId="5" fillId="4" borderId="22" xfId="0" applyNumberFormat="1" applyFont="1" applyFill="1" applyBorder="1"/>
    <xf numFmtId="0" fontId="0" fillId="7" borderId="14" xfId="0" applyFill="1" applyBorder="1"/>
    <xf numFmtId="164" fontId="29" fillId="2" borderId="0" xfId="0" applyNumberFormat="1" applyFont="1" applyFill="1"/>
    <xf numFmtId="0" fontId="26" fillId="7" borderId="0" xfId="0" applyFont="1" applyFill="1" applyAlignment="1">
      <alignment horizontal="right"/>
    </xf>
    <xf numFmtId="0" fontId="27" fillId="7" borderId="0" xfId="0" applyFont="1" applyFill="1" applyAlignment="1">
      <alignment horizontal="right"/>
    </xf>
    <xf numFmtId="164" fontId="5" fillId="4" borderId="29" xfId="0" applyNumberFormat="1" applyFont="1" applyFill="1" applyBorder="1"/>
    <xf numFmtId="0" fontId="0" fillId="7" borderId="2" xfId="0" applyFill="1" applyBorder="1"/>
    <xf numFmtId="0" fontId="0" fillId="7" borderId="18" xfId="0" applyFill="1" applyBorder="1"/>
    <xf numFmtId="167" fontId="0" fillId="2" borderId="0" xfId="1" applyNumberFormat="1" applyFont="1" applyFill="1" applyBorder="1"/>
    <xf numFmtId="167" fontId="0" fillId="2" borderId="16" xfId="1" applyNumberFormat="1" applyFont="1" applyFill="1" applyBorder="1"/>
    <xf numFmtId="9" fontId="0" fillId="2" borderId="15" xfId="1" applyFont="1" applyFill="1" applyBorder="1"/>
    <xf numFmtId="10" fontId="0" fillId="2" borderId="17" xfId="1" applyNumberFormat="1" applyFont="1" applyFill="1" applyBorder="1"/>
    <xf numFmtId="9" fontId="8" fillId="2" borderId="2" xfId="1" applyFont="1" applyFill="1" applyBorder="1"/>
    <xf numFmtId="9" fontId="8" fillId="2" borderId="18" xfId="1" applyFont="1" applyFill="1" applyBorder="1"/>
    <xf numFmtId="164" fontId="0" fillId="2" borderId="16" xfId="0" applyNumberFormat="1" applyFill="1" applyBorder="1"/>
    <xf numFmtId="164" fontId="0" fillId="2" borderId="13" xfId="0" applyNumberFormat="1" applyFill="1" applyBorder="1"/>
    <xf numFmtId="167" fontId="0" fillId="2" borderId="15" xfId="1" applyNumberFormat="1" applyFont="1" applyFill="1" applyBorder="1"/>
    <xf numFmtId="9" fontId="0" fillId="2" borderId="17" xfId="1" applyFont="1" applyFill="1" applyBorder="1"/>
    <xf numFmtId="0" fontId="28" fillId="8" borderId="17" xfId="0" applyFont="1" applyFill="1" applyBorder="1" applyAlignment="1">
      <alignment horizontal="right"/>
    </xf>
    <xf numFmtId="0" fontId="28" fillId="8" borderId="2" xfId="0" applyFont="1" applyFill="1" applyBorder="1" applyAlignment="1">
      <alignment horizontal="right"/>
    </xf>
    <xf numFmtId="0" fontId="12" fillId="8" borderId="2" xfId="0" applyFont="1" applyFill="1" applyBorder="1"/>
    <xf numFmtId="0" fontId="12" fillId="8" borderId="18" xfId="0" applyFont="1" applyFill="1" applyBorder="1" applyAlignment="1">
      <alignment horizontal="right"/>
    </xf>
    <xf numFmtId="0" fontId="0" fillId="2" borderId="15" xfId="0" quotePrefix="1" applyFill="1" applyBorder="1"/>
    <xf numFmtId="0" fontId="1" fillId="2" borderId="13" xfId="0" applyFont="1" applyFill="1" applyBorder="1"/>
    <xf numFmtId="164" fontId="1" fillId="2" borderId="13" xfId="0" applyNumberFormat="1" applyFont="1" applyFill="1" applyBorder="1"/>
    <xf numFmtId="164" fontId="1" fillId="2" borderId="1" xfId="0" applyNumberFormat="1" applyFont="1" applyFill="1" applyBorder="1"/>
    <xf numFmtId="164" fontId="1" fillId="2" borderId="14" xfId="0" applyNumberFormat="1" applyFont="1" applyFill="1" applyBorder="1"/>
    <xf numFmtId="164" fontId="1" fillId="2" borderId="1" xfId="0" applyNumberFormat="1" applyFont="1" applyFill="1" applyBorder="1" applyAlignment="1">
      <alignment horizontal="right"/>
    </xf>
    <xf numFmtId="164" fontId="4" fillId="4" borderId="15" xfId="0" applyNumberFormat="1" applyFont="1" applyFill="1" applyBorder="1"/>
    <xf numFmtId="164" fontId="4" fillId="4" borderId="16" xfId="0" applyNumberFormat="1" applyFont="1" applyFill="1" applyBorder="1"/>
    <xf numFmtId="164" fontId="3" fillId="2" borderId="2" xfId="0" applyNumberFormat="1" applyFont="1" applyFill="1" applyBorder="1"/>
    <xf numFmtId="164" fontId="3" fillId="2" borderId="17" xfId="0" applyNumberFormat="1" applyFont="1" applyFill="1" applyBorder="1"/>
    <xf numFmtId="164" fontId="3" fillId="2" borderId="18" xfId="0" applyNumberFormat="1" applyFont="1" applyFill="1" applyBorder="1"/>
    <xf numFmtId="10" fontId="0" fillId="9" borderId="15" xfId="1" applyNumberFormat="1" applyFont="1" applyFill="1" applyBorder="1"/>
    <xf numFmtId="10" fontId="0" fillId="10" borderId="0" xfId="1" applyNumberFormat="1" applyFont="1" applyFill="1" applyBorder="1"/>
    <xf numFmtId="10" fontId="0" fillId="11" borderId="0" xfId="1" applyNumberFormat="1" applyFont="1" applyFill="1" applyBorder="1"/>
    <xf numFmtId="9" fontId="0" fillId="9" borderId="0" xfId="1" applyFont="1" applyFill="1" applyBorder="1"/>
    <xf numFmtId="9" fontId="0" fillId="10" borderId="0" xfId="1" applyFont="1" applyFill="1" applyBorder="1"/>
    <xf numFmtId="9" fontId="0" fillId="11" borderId="0" xfId="1" applyFont="1" applyFill="1" applyBorder="1"/>
    <xf numFmtId="2" fontId="0" fillId="2" borderId="0" xfId="0" applyNumberFormat="1" applyFill="1"/>
    <xf numFmtId="2" fontId="0" fillId="2" borderId="16" xfId="0" applyNumberFormat="1" applyFill="1" applyBorder="1"/>
    <xf numFmtId="171" fontId="0" fillId="4" borderId="0" xfId="0" applyNumberFormat="1" applyFill="1"/>
    <xf numFmtId="171" fontId="0" fillId="4" borderId="16" xfId="0" applyNumberFormat="1" applyFill="1" applyBorder="1"/>
    <xf numFmtId="171" fontId="0" fillId="2" borderId="0" xfId="0" applyNumberFormat="1" applyFill="1"/>
    <xf numFmtId="171" fontId="0" fillId="2" borderId="16" xfId="0" applyNumberFormat="1" applyFill="1" applyBorder="1"/>
    <xf numFmtId="2" fontId="0" fillId="4" borderId="0" xfId="0" applyNumberFormat="1" applyFill="1"/>
    <xf numFmtId="2" fontId="0" fillId="4" borderId="16" xfId="0" applyNumberFormat="1" applyFill="1" applyBorder="1"/>
    <xf numFmtId="0" fontId="0" fillId="7" borderId="0" xfId="0" applyFill="1" applyAlignment="1">
      <alignment horizontal="right"/>
    </xf>
    <xf numFmtId="0" fontId="0" fillId="7" borderId="16" xfId="0" applyFill="1" applyBorder="1" applyAlignment="1">
      <alignment horizontal="right"/>
    </xf>
    <xf numFmtId="3" fontId="0" fillId="4" borderId="15" xfId="0" applyNumberFormat="1" applyFill="1" applyBorder="1"/>
    <xf numFmtId="3" fontId="0" fillId="2" borderId="15" xfId="0" applyNumberFormat="1" applyFill="1" applyBorder="1"/>
    <xf numFmtId="3" fontId="1" fillId="4" borderId="17" xfId="0" applyNumberFormat="1" applyFont="1" applyFill="1" applyBorder="1"/>
    <xf numFmtId="172" fontId="0" fillId="0" borderId="0" xfId="0" applyNumberFormat="1"/>
    <xf numFmtId="172" fontId="0" fillId="0" borderId="0" xfId="1" applyNumberFormat="1" applyFont="1"/>
    <xf numFmtId="1" fontId="0" fillId="0" borderId="0" xfId="0" applyNumberFormat="1"/>
    <xf numFmtId="3" fontId="1" fillId="4" borderId="0" xfId="0" applyNumberFormat="1" applyFont="1" applyFill="1"/>
    <xf numFmtId="3" fontId="1" fillId="4" borderId="2" xfId="0" applyNumberFormat="1" applyFont="1" applyFill="1" applyBorder="1"/>
    <xf numFmtId="9" fontId="0" fillId="2" borderId="16" xfId="0" applyNumberFormat="1" applyFill="1" applyBorder="1"/>
    <xf numFmtId="0" fontId="1" fillId="4" borderId="17" xfId="0" applyFont="1" applyFill="1" applyBorder="1"/>
    <xf numFmtId="2" fontId="1" fillId="4" borderId="18" xfId="0" applyNumberFormat="1" applyFont="1" applyFill="1" applyBorder="1"/>
    <xf numFmtId="0" fontId="0" fillId="2" borderId="26" xfId="0" applyFill="1" applyBorder="1" applyAlignment="1">
      <alignment horizontal="left" vertical="center" wrapText="1"/>
    </xf>
    <xf numFmtId="0" fontId="3" fillId="2" borderId="15" xfId="0" applyFont="1" applyFill="1" applyBorder="1" applyAlignment="1">
      <alignment horizontal="left" vertical="center" wrapText="1" indent="1"/>
    </xf>
    <xf numFmtId="0" fontId="12" fillId="2" borderId="15" xfId="0" applyFont="1" applyFill="1" applyBorder="1" applyAlignment="1">
      <alignment horizontal="left" vertical="center" wrapText="1" indent="1"/>
    </xf>
    <xf numFmtId="0" fontId="3" fillId="2" borderId="17" xfId="0" applyFont="1" applyFill="1" applyBorder="1" applyAlignment="1">
      <alignment horizontal="left" vertical="center" wrapText="1" indent="1"/>
    </xf>
    <xf numFmtId="0" fontId="12" fillId="2" borderId="25" xfId="0" applyFont="1" applyFill="1" applyBorder="1" applyAlignment="1">
      <alignment horizontal="left" vertical="center" wrapText="1" indent="1"/>
    </xf>
    <xf numFmtId="0" fontId="32" fillId="2" borderId="25" xfId="0" applyFont="1" applyFill="1" applyBorder="1" applyAlignment="1">
      <alignment horizontal="left" vertical="center" wrapText="1" indent="1"/>
    </xf>
    <xf numFmtId="0" fontId="35" fillId="14" borderId="20" xfId="0" applyFont="1" applyFill="1" applyBorder="1" applyAlignment="1">
      <alignment horizontal="center"/>
    </xf>
    <xf numFmtId="0" fontId="35" fillId="14" borderId="22" xfId="0" applyFont="1" applyFill="1" applyBorder="1" applyAlignment="1">
      <alignment horizontal="center"/>
    </xf>
    <xf numFmtId="0" fontId="12" fillId="4" borderId="15" xfId="0" applyFont="1" applyFill="1" applyBorder="1" applyAlignment="1">
      <alignment horizontal="left" vertical="center" wrapText="1" indent="1"/>
    </xf>
    <xf numFmtId="0" fontId="0" fillId="4" borderId="25" xfId="0" applyFill="1" applyBorder="1"/>
    <xf numFmtId="0" fontId="3" fillId="4" borderId="15" xfId="0" applyFont="1" applyFill="1" applyBorder="1" applyAlignment="1">
      <alignment horizontal="left" vertical="center" wrapText="1" indent="1"/>
    </xf>
    <xf numFmtId="0" fontId="3" fillId="4" borderId="25" xfId="0" applyFont="1" applyFill="1" applyBorder="1" applyAlignment="1">
      <alignment horizontal="left" vertical="center" wrapText="1" indent="1"/>
    </xf>
    <xf numFmtId="0" fontId="0" fillId="2" borderId="0" xfId="0" applyFill="1" applyAlignment="1">
      <alignment horizontal="center" vertical="center"/>
    </xf>
    <xf numFmtId="0" fontId="0" fillId="2" borderId="16" xfId="0" applyFill="1" applyBorder="1" applyAlignment="1">
      <alignment horizontal="center" vertical="center"/>
    </xf>
    <xf numFmtId="0" fontId="0" fillId="4" borderId="16" xfId="0" applyFill="1" applyBorder="1" applyAlignment="1">
      <alignment horizontal="center" vertical="center"/>
    </xf>
    <xf numFmtId="0" fontId="0" fillId="2" borderId="25" xfId="0" applyFill="1" applyBorder="1" applyAlignment="1">
      <alignment horizontal="center" vertical="center"/>
    </xf>
    <xf numFmtId="0" fontId="0" fillId="4" borderId="25" xfId="0" applyFill="1" applyBorder="1" applyAlignment="1">
      <alignment horizontal="center" vertical="center"/>
    </xf>
    <xf numFmtId="0" fontId="0" fillId="15" borderId="22" xfId="0" applyFill="1" applyBorder="1" applyAlignment="1">
      <alignment horizontal="center" vertical="center"/>
    </xf>
    <xf numFmtId="0" fontId="0" fillId="10" borderId="22" xfId="0" applyFill="1" applyBorder="1" applyAlignment="1">
      <alignment horizontal="center" vertical="center"/>
    </xf>
    <xf numFmtId="0" fontId="0" fillId="9" borderId="19" xfId="0" applyFill="1" applyBorder="1" applyAlignment="1">
      <alignment horizontal="center" vertical="center"/>
    </xf>
    <xf numFmtId="0" fontId="0" fillId="9" borderId="20" xfId="0" applyFill="1" applyBorder="1" applyAlignment="1">
      <alignment horizontal="left" indent="1"/>
    </xf>
    <xf numFmtId="0" fontId="0" fillId="9" borderId="19" xfId="0" applyFill="1" applyBorder="1"/>
    <xf numFmtId="0" fontId="0" fillId="9" borderId="22" xfId="0" applyFill="1" applyBorder="1"/>
    <xf numFmtId="0" fontId="0" fillId="12" borderId="26" xfId="0" applyFill="1" applyBorder="1" applyAlignment="1">
      <alignment horizontal="center" vertical="center"/>
    </xf>
    <xf numFmtId="0" fontId="0" fillId="13" borderId="18" xfId="0" applyFill="1" applyBorder="1" applyAlignment="1">
      <alignment horizontal="center" vertical="center"/>
    </xf>
    <xf numFmtId="0" fontId="0" fillId="2" borderId="24" xfId="0" applyFill="1" applyBorder="1" applyAlignment="1">
      <alignment horizontal="left" vertical="center" indent="1"/>
    </xf>
    <xf numFmtId="0" fontId="0" fillId="4" borderId="25" xfId="0" applyFill="1" applyBorder="1" applyAlignment="1">
      <alignment horizontal="left" vertical="center" indent="1"/>
    </xf>
    <xf numFmtId="0" fontId="0" fillId="2" borderId="25" xfId="0" applyFill="1" applyBorder="1" applyAlignment="1">
      <alignment horizontal="left" vertical="center" indent="1"/>
    </xf>
    <xf numFmtId="0" fontId="0" fillId="2" borderId="26" xfId="0" applyFill="1" applyBorder="1" applyAlignment="1">
      <alignment horizontal="left" indent="1"/>
    </xf>
    <xf numFmtId="0" fontId="0" fillId="2" borderId="33" xfId="0" applyFill="1" applyBorder="1"/>
    <xf numFmtId="164" fontId="0" fillId="2" borderId="29" xfId="0" applyNumberFormat="1" applyFill="1" applyBorder="1"/>
    <xf numFmtId="164" fontId="0" fillId="2" borderId="34" xfId="0" applyNumberFormat="1" applyFill="1" applyBorder="1"/>
    <xf numFmtId="0" fontId="19" fillId="3" borderId="35" xfId="0" applyFont="1" applyFill="1" applyBorder="1"/>
    <xf numFmtId="0" fontId="19" fillId="3" borderId="36" xfId="0" applyFont="1" applyFill="1" applyBorder="1"/>
    <xf numFmtId="0" fontId="0" fillId="3" borderId="37" xfId="0" applyFill="1" applyBorder="1"/>
    <xf numFmtId="0" fontId="0" fillId="3" borderId="24" xfId="0" applyFill="1" applyBorder="1" applyAlignment="1">
      <alignment horizontal="right"/>
    </xf>
    <xf numFmtId="3" fontId="0" fillId="2" borderId="25" xfId="0" applyNumberFormat="1" applyFill="1" applyBorder="1"/>
    <xf numFmtId="0" fontId="1" fillId="3" borderId="1" xfId="0" applyFont="1" applyFill="1" applyBorder="1" applyAlignment="1">
      <alignment horizontal="right"/>
    </xf>
    <xf numFmtId="0" fontId="0" fillId="6" borderId="14" xfId="0" applyFill="1" applyBorder="1" applyAlignment="1">
      <alignment horizontal="right"/>
    </xf>
    <xf numFmtId="0" fontId="1" fillId="3" borderId="1" xfId="0" applyFont="1" applyFill="1" applyBorder="1"/>
    <xf numFmtId="0" fontId="0" fillId="10" borderId="0" xfId="0" applyFill="1"/>
    <xf numFmtId="3" fontId="0" fillId="10" borderId="0" xfId="0" applyNumberFormat="1" applyFill="1"/>
    <xf numFmtId="3" fontId="0" fillId="10" borderId="2" xfId="0" applyNumberFormat="1" applyFill="1" applyBorder="1"/>
    <xf numFmtId="0" fontId="0" fillId="2" borderId="0" xfId="0" applyFill="1" applyAlignment="1">
      <alignment horizontal="center"/>
    </xf>
    <xf numFmtId="2" fontId="0" fillId="2" borderId="18" xfId="0" applyNumberFormat="1" applyFill="1" applyBorder="1"/>
    <xf numFmtId="1" fontId="0" fillId="2" borderId="25" xfId="0" applyNumberFormat="1" applyFill="1" applyBorder="1"/>
    <xf numFmtId="2" fontId="0" fillId="4" borderId="25" xfId="0" applyNumberFormat="1" applyFill="1" applyBorder="1"/>
    <xf numFmtId="2" fontId="0" fillId="2" borderId="26" xfId="0" applyNumberFormat="1" applyFill="1" applyBorder="1"/>
    <xf numFmtId="0" fontId="0" fillId="3" borderId="2" xfId="0" applyFill="1" applyBorder="1"/>
    <xf numFmtId="0" fontId="0" fillId="3" borderId="26" xfId="0" applyFill="1" applyBorder="1"/>
    <xf numFmtId="2" fontId="0" fillId="2" borderId="2" xfId="0" applyNumberFormat="1" applyFill="1" applyBorder="1"/>
    <xf numFmtId="9" fontId="0" fillId="4" borderId="15" xfId="1" applyFont="1" applyFill="1" applyBorder="1"/>
    <xf numFmtId="10" fontId="0" fillId="4" borderId="15" xfId="1" applyNumberFormat="1" applyFont="1" applyFill="1" applyBorder="1"/>
    <xf numFmtId="167" fontId="0" fillId="4" borderId="0" xfId="1" applyNumberFormat="1" applyFont="1" applyFill="1" applyBorder="1"/>
    <xf numFmtId="167" fontId="0" fillId="4" borderId="16" xfId="1" applyNumberFormat="1" applyFont="1" applyFill="1" applyBorder="1"/>
    <xf numFmtId="9" fontId="8" fillId="4" borderId="0" xfId="1" applyFont="1" applyFill="1" applyBorder="1"/>
    <xf numFmtId="0" fontId="18" fillId="3" borderId="17" xfId="0" applyFont="1" applyFill="1" applyBorder="1" applyAlignment="1">
      <alignment horizontal="right"/>
    </xf>
    <xf numFmtId="0" fontId="18" fillId="3" borderId="2" xfId="0" applyFont="1" applyFill="1" applyBorder="1" applyAlignment="1">
      <alignment horizontal="right"/>
    </xf>
    <xf numFmtId="0" fontId="10" fillId="3" borderId="2" xfId="0" applyFont="1" applyFill="1" applyBorder="1"/>
    <xf numFmtId="0" fontId="10" fillId="3" borderId="18" xfId="0" applyFont="1" applyFill="1" applyBorder="1"/>
    <xf numFmtId="0" fontId="0" fillId="6" borderId="14" xfId="0" applyFill="1" applyBorder="1"/>
    <xf numFmtId="0" fontId="18" fillId="6" borderId="18" xfId="0" applyFont="1" applyFill="1" applyBorder="1" applyAlignment="1">
      <alignment horizontal="right"/>
    </xf>
    <xf numFmtId="9" fontId="0" fillId="11" borderId="16" xfId="1" applyFont="1" applyFill="1" applyBorder="1"/>
    <xf numFmtId="0" fontId="0" fillId="3" borderId="17" xfId="0" applyFill="1" applyBorder="1"/>
    <xf numFmtId="10" fontId="0" fillId="13" borderId="16" xfId="1" applyNumberFormat="1" applyFont="1" applyFill="1" applyBorder="1"/>
    <xf numFmtId="167" fontId="0" fillId="4" borderId="15" xfId="1" applyNumberFormat="1" applyFont="1" applyFill="1" applyBorder="1"/>
    <xf numFmtId="0" fontId="1" fillId="2" borderId="20" xfId="0" quotePrefix="1" applyFont="1" applyFill="1" applyBorder="1"/>
    <xf numFmtId="164" fontId="1" fillId="2" borderId="20" xfId="0" applyNumberFormat="1" applyFont="1" applyFill="1" applyBorder="1"/>
    <xf numFmtId="164" fontId="1" fillId="2" borderId="21" xfId="0" applyNumberFormat="1" applyFont="1" applyFill="1" applyBorder="1"/>
    <xf numFmtId="164" fontId="1" fillId="2" borderId="22" xfId="0" applyNumberFormat="1" applyFont="1" applyFill="1" applyBorder="1"/>
    <xf numFmtId="10" fontId="1" fillId="2" borderId="0" xfId="1" applyNumberFormat="1" applyFont="1" applyFill="1"/>
    <xf numFmtId="10" fontId="1" fillId="2" borderId="2" xfId="1" applyNumberFormat="1" applyFont="1" applyFill="1" applyBorder="1"/>
    <xf numFmtId="10" fontId="1" fillId="2" borderId="18" xfId="1" applyNumberFormat="1" applyFont="1" applyFill="1" applyBorder="1"/>
    <xf numFmtId="2" fontId="0" fillId="2" borderId="0" xfId="1" applyNumberFormat="1" applyFont="1" applyFill="1"/>
    <xf numFmtId="2" fontId="0" fillId="4" borderId="0" xfId="1" applyNumberFormat="1" applyFont="1" applyFill="1" applyBorder="1"/>
    <xf numFmtId="2" fontId="0" fillId="4" borderId="16" xfId="1" applyNumberFormat="1" applyFont="1" applyFill="1" applyBorder="1"/>
    <xf numFmtId="10" fontId="1" fillId="2" borderId="0" xfId="1" applyNumberFormat="1" applyFont="1" applyFill="1" applyBorder="1"/>
    <xf numFmtId="9" fontId="1" fillId="2" borderId="0" xfId="1" applyFont="1" applyFill="1"/>
    <xf numFmtId="167" fontId="1" fillId="2" borderId="0" xfId="1" applyNumberFormat="1" applyFont="1" applyFill="1"/>
    <xf numFmtId="0" fontId="0" fillId="3" borderId="1" xfId="0" applyFill="1" applyBorder="1" applyAlignment="1">
      <alignment horizontal="center"/>
    </xf>
    <xf numFmtId="0" fontId="0" fillId="3" borderId="24" xfId="0" applyFill="1" applyBorder="1" applyAlignment="1">
      <alignment horizontal="center"/>
    </xf>
    <xf numFmtId="2" fontId="0" fillId="2" borderId="25" xfId="0" applyNumberFormat="1" applyFill="1" applyBorder="1" applyAlignment="1">
      <alignment horizontal="center"/>
    </xf>
    <xf numFmtId="0" fontId="0" fillId="4" borderId="0" xfId="0" applyFill="1" applyAlignment="1">
      <alignment horizontal="center"/>
    </xf>
    <xf numFmtId="2" fontId="0" fillId="4" borderId="25" xfId="0" applyNumberFormat="1" applyFill="1" applyBorder="1" applyAlignment="1">
      <alignment horizontal="center"/>
    </xf>
    <xf numFmtId="0" fontId="0" fillId="2" borderId="2" xfId="0" applyFill="1" applyBorder="1" applyAlignment="1">
      <alignment horizontal="center"/>
    </xf>
    <xf numFmtId="2" fontId="0" fillId="2" borderId="26" xfId="0" applyNumberFormat="1" applyFill="1" applyBorder="1" applyAlignment="1">
      <alignment horizontal="center"/>
    </xf>
    <xf numFmtId="0" fontId="1" fillId="3" borderId="0" xfId="0" applyFont="1" applyFill="1"/>
    <xf numFmtId="0" fontId="1" fillId="3" borderId="25" xfId="0" applyFont="1" applyFill="1" applyBorder="1"/>
    <xf numFmtId="3" fontId="0" fillId="4" borderId="25" xfId="0" applyNumberFormat="1" applyFill="1" applyBorder="1"/>
    <xf numFmtId="3" fontId="1" fillId="4" borderId="26" xfId="0" applyNumberFormat="1" applyFont="1" applyFill="1" applyBorder="1"/>
    <xf numFmtId="0" fontId="1" fillId="2" borderId="0" xfId="0" applyFont="1" applyFill="1" applyAlignment="1">
      <alignment horizontal="center"/>
    </xf>
    <xf numFmtId="0" fontId="1" fillId="2" borderId="0" xfId="0" applyFont="1" applyFill="1" applyAlignment="1">
      <alignment horizontal="right"/>
    </xf>
    <xf numFmtId="0" fontId="1" fillId="3" borderId="24" xfId="0" applyFont="1" applyFill="1" applyBorder="1"/>
    <xf numFmtId="0" fontId="1" fillId="3" borderId="24" xfId="0" applyFont="1" applyFill="1" applyBorder="1" applyAlignment="1">
      <alignment horizontal="right"/>
    </xf>
    <xf numFmtId="171" fontId="0" fillId="4" borderId="15" xfId="0" applyNumberFormat="1" applyFill="1" applyBorder="1"/>
    <xf numFmtId="0" fontId="1" fillId="3" borderId="15" xfId="0" applyFont="1" applyFill="1" applyBorder="1"/>
    <xf numFmtId="0" fontId="1" fillId="3" borderId="15" xfId="0" quotePrefix="1" applyFont="1" applyFill="1" applyBorder="1"/>
    <xf numFmtId="0" fontId="1" fillId="2" borderId="2" xfId="0" applyFont="1" applyFill="1" applyBorder="1" applyAlignment="1">
      <alignment horizontal="center"/>
    </xf>
    <xf numFmtId="0" fontId="1" fillId="2" borderId="2" xfId="0" applyFont="1" applyFill="1" applyBorder="1" applyAlignment="1">
      <alignment horizontal="right"/>
    </xf>
    <xf numFmtId="0" fontId="0" fillId="3" borderId="20" xfId="0" applyFill="1" applyBorder="1"/>
    <xf numFmtId="3" fontId="0" fillId="3" borderId="20" xfId="0" applyNumberFormat="1" applyFill="1" applyBorder="1" applyAlignment="1">
      <alignment horizontal="right"/>
    </xf>
    <xf numFmtId="0" fontId="0" fillId="3" borderId="21" xfId="0" applyFill="1" applyBorder="1" applyAlignment="1">
      <alignment horizontal="right"/>
    </xf>
    <xf numFmtId="0" fontId="0" fillId="3" borderId="22" xfId="0" applyFill="1" applyBorder="1" applyAlignment="1">
      <alignment horizontal="right"/>
    </xf>
    <xf numFmtId="10" fontId="1" fillId="2" borderId="0" xfId="0" applyNumberFormat="1" applyFont="1" applyFill="1"/>
    <xf numFmtId="0" fontId="1" fillId="6" borderId="0" xfId="0" applyFont="1" applyFill="1" applyAlignment="1">
      <alignment horizontal="right"/>
    </xf>
    <xf numFmtId="0" fontId="1" fillId="2" borderId="1" xfId="0" applyFont="1" applyFill="1" applyBorder="1"/>
    <xf numFmtId="10" fontId="0" fillId="2" borderId="1" xfId="1" applyNumberFormat="1" applyFont="1" applyFill="1" applyBorder="1"/>
    <xf numFmtId="10" fontId="1" fillId="2" borderId="1" xfId="1" applyNumberFormat="1" applyFont="1" applyFill="1" applyBorder="1"/>
    <xf numFmtId="10" fontId="1" fillId="2" borderId="1" xfId="0" applyNumberFormat="1" applyFont="1" applyFill="1" applyBorder="1"/>
    <xf numFmtId="3" fontId="0" fillId="2" borderId="1" xfId="0" applyNumberFormat="1" applyFill="1" applyBorder="1"/>
    <xf numFmtId="10" fontId="0" fillId="2" borderId="1" xfId="0" applyNumberFormat="1" applyFill="1" applyBorder="1"/>
    <xf numFmtId="169" fontId="1" fillId="2" borderId="1" xfId="0" applyNumberFormat="1" applyFont="1" applyFill="1" applyBorder="1"/>
    <xf numFmtId="9" fontId="0" fillId="2" borderId="1" xfId="1" applyFont="1" applyFill="1" applyBorder="1"/>
    <xf numFmtId="9" fontId="1" fillId="2" borderId="1" xfId="1" applyFont="1" applyFill="1" applyBorder="1"/>
    <xf numFmtId="3" fontId="1" fillId="2" borderId="1" xfId="0" applyNumberFormat="1" applyFont="1" applyFill="1" applyBorder="1"/>
    <xf numFmtId="167" fontId="1" fillId="2" borderId="1" xfId="1" applyNumberFormat="1" applyFont="1" applyFill="1" applyBorder="1"/>
    <xf numFmtId="0" fontId="5" fillId="0" borderId="0" xfId="0" applyFont="1" applyAlignment="1">
      <alignment horizontal="center"/>
    </xf>
    <xf numFmtId="0" fontId="6" fillId="0" borderId="0" xfId="0" applyFont="1" applyAlignment="1">
      <alignment horizontal="center" vertical="center" textRotation="90"/>
    </xf>
    <xf numFmtId="0" fontId="10" fillId="0" borderId="0" xfId="0" applyFont="1" applyAlignment="1">
      <alignment horizontal="center"/>
    </xf>
    <xf numFmtId="0" fontId="1" fillId="2" borderId="0" xfId="0" applyFont="1" applyFill="1" applyAlignment="1">
      <alignment horizontal="left" vertical="center" indent="1"/>
    </xf>
    <xf numFmtId="0" fontId="1" fillId="2" borderId="2" xfId="0" applyFont="1" applyFill="1" applyBorder="1" applyAlignment="1">
      <alignment horizontal="left" vertical="center" indent="1"/>
    </xf>
    <xf numFmtId="0" fontId="1" fillId="2" borderId="2" xfId="0" applyFont="1" applyFill="1" applyBorder="1" applyAlignment="1">
      <alignment horizontal="center" vertical="center"/>
    </xf>
    <xf numFmtId="0" fontId="1" fillId="2" borderId="0" xfId="0" applyFont="1" applyFill="1" applyAlignment="1">
      <alignment horizontal="center" vertical="center"/>
    </xf>
    <xf numFmtId="0" fontId="19" fillId="3" borderId="13" xfId="0" applyFont="1" applyFill="1" applyBorder="1" applyAlignment="1">
      <alignment horizontal="left" vertical="center"/>
    </xf>
    <xf numFmtId="0" fontId="19" fillId="3" borderId="17" xfId="0" applyFont="1" applyFill="1" applyBorder="1" applyAlignment="1">
      <alignment horizontal="left" vertical="center"/>
    </xf>
    <xf numFmtId="0" fontId="0" fillId="2" borderId="0" xfId="0" applyFill="1" applyAlignment="1">
      <alignment horizontal="center"/>
    </xf>
    <xf numFmtId="0" fontId="1" fillId="3" borderId="24" xfId="0" applyFont="1" applyFill="1" applyBorder="1" applyAlignment="1">
      <alignment horizontal="left" vertical="center"/>
    </xf>
    <xf numFmtId="0" fontId="1" fillId="3" borderId="26" xfId="0" applyFont="1" applyFill="1" applyBorder="1" applyAlignment="1">
      <alignment horizontal="left" vertical="center"/>
    </xf>
    <xf numFmtId="0" fontId="1" fillId="2" borderId="0" xfId="0" applyFont="1" applyFill="1" applyAlignment="1">
      <alignment horizontal="center"/>
    </xf>
    <xf numFmtId="0" fontId="0" fillId="7" borderId="0" xfId="0" applyFill="1" applyAlignment="1">
      <alignment horizontal="center"/>
    </xf>
    <xf numFmtId="0" fontId="1" fillId="2" borderId="2" xfId="0" applyFont="1" applyFill="1" applyBorder="1" applyAlignment="1">
      <alignment horizontal="center"/>
    </xf>
    <xf numFmtId="0" fontId="19" fillId="7" borderId="13" xfId="0" applyFont="1" applyFill="1" applyBorder="1" applyAlignment="1">
      <alignment horizontal="left" vertical="center"/>
    </xf>
    <xf numFmtId="0" fontId="19" fillId="7" borderId="17" xfId="0" applyFont="1" applyFill="1" applyBorder="1" applyAlignment="1">
      <alignment horizontal="left" vertical="center"/>
    </xf>
    <xf numFmtId="0" fontId="0" fillId="7" borderId="13" xfId="0" applyFill="1" applyBorder="1" applyAlignment="1">
      <alignment horizontal="center"/>
    </xf>
    <xf numFmtId="0" fontId="0" fillId="7" borderId="1" xfId="0" applyFill="1" applyBorder="1" applyAlignment="1">
      <alignment horizontal="center"/>
    </xf>
    <xf numFmtId="0" fontId="19" fillId="3" borderId="24" xfId="0" applyFont="1" applyFill="1" applyBorder="1" applyAlignment="1">
      <alignment horizontal="left" vertical="center"/>
    </xf>
    <xf numFmtId="0" fontId="19" fillId="3" borderId="26" xfId="0" applyFont="1" applyFill="1" applyBorder="1" applyAlignment="1">
      <alignment horizontal="left" vertical="center"/>
    </xf>
    <xf numFmtId="0" fontId="27" fillId="7" borderId="0" xfId="0" applyFont="1" applyFill="1" applyAlignment="1">
      <alignment horizontal="left" vertical="center"/>
    </xf>
    <xf numFmtId="164" fontId="23" fillId="2" borderId="0" xfId="0" applyNumberFormat="1" applyFont="1" applyFill="1" applyAlignment="1">
      <alignment horizontal="center"/>
    </xf>
    <xf numFmtId="164" fontId="23" fillId="2" borderId="0" xfId="0" applyNumberFormat="1" applyFont="1" applyFill="1" applyAlignment="1">
      <alignment horizontal="center" vertical="center"/>
    </xf>
    <xf numFmtId="164" fontId="23" fillId="2" borderId="0" xfId="0" applyNumberFormat="1" applyFont="1" applyFill="1" applyAlignment="1">
      <alignment horizontal="right" vertical="center"/>
    </xf>
    <xf numFmtId="0" fontId="0" fillId="2" borderId="2" xfId="0" applyFill="1" applyBorder="1" applyAlignment="1">
      <alignment horizontal="center"/>
    </xf>
    <xf numFmtId="0" fontId="0" fillId="0" borderId="0" xfId="0" applyAlignment="1">
      <alignment horizontal="left" wrapText="1"/>
    </xf>
    <xf numFmtId="0" fontId="0" fillId="2" borderId="0" xfId="0" applyFill="1" applyAlignment="1">
      <alignment horizontal="left"/>
    </xf>
    <xf numFmtId="0" fontId="11" fillId="2" borderId="0" xfId="0" applyFont="1" applyFill="1" applyAlignment="1">
      <alignment horizontal="center"/>
    </xf>
    <xf numFmtId="0" fontId="5" fillId="2" borderId="0" xfId="0" applyFont="1" applyFill="1" applyAlignment="1">
      <alignment horizontal="center"/>
    </xf>
    <xf numFmtId="0" fontId="0" fillId="0" borderId="0" xfId="0" applyAlignment="1">
      <alignment horizontal="center"/>
    </xf>
    <xf numFmtId="0" fontId="1" fillId="0" borderId="0" xfId="0" applyFont="1" applyAlignment="1">
      <alignment horizontal="left"/>
    </xf>
    <xf numFmtId="0" fontId="20" fillId="2" borderId="0" xfId="0" applyFont="1" applyFill="1" applyAlignment="1">
      <alignment horizontal="left" vertical="top" wrapText="1"/>
    </xf>
    <xf numFmtId="0" fontId="20" fillId="2" borderId="3"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28B482"/>
      <color rgb="FF009C9D"/>
      <color rgb="FF008C8C"/>
      <color rgb="FFA5E1D2"/>
      <color rgb="FF007272"/>
      <color rgb="FF14555A"/>
      <color rgb="FF00343E"/>
      <color rgb="FF00FFB4"/>
      <color rgb="FF4A9BC3"/>
      <color rgb="FFDC6E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NO"/>
        </a:p>
      </c:txPr>
    </c:title>
    <c:autoTitleDeleted val="0"/>
    <c:plotArea>
      <c:layout/>
      <c:barChart>
        <c:barDir val="col"/>
        <c:grouping val="clustered"/>
        <c:varyColors val="0"/>
        <c:ser>
          <c:idx val="0"/>
          <c:order val="0"/>
          <c:tx>
            <c:strRef>
              <c:f>'F.cast FCF'!$B$25</c:f>
              <c:strCache>
                <c:ptCount val="1"/>
                <c:pt idx="0">
                  <c:v>FCFF</c:v>
                </c:pt>
              </c:strCache>
            </c:strRef>
          </c:tx>
          <c:spPr>
            <a:solidFill>
              <a:schemeClr val="accent1"/>
            </a:solidFill>
            <a:ln>
              <a:noFill/>
            </a:ln>
            <a:effectLst/>
          </c:spPr>
          <c:invertIfNegative val="0"/>
          <c:cat>
            <c:numRef>
              <c:f>'F.cast FCF'!$C$24:$K$24</c:f>
              <c:numCache>
                <c:formatCode>General</c:formatCode>
                <c:ptCount val="9"/>
                <c:pt idx="0">
                  <c:v>2017</c:v>
                </c:pt>
                <c:pt idx="1">
                  <c:v>2018</c:v>
                </c:pt>
                <c:pt idx="2">
                  <c:v>2019</c:v>
                </c:pt>
                <c:pt idx="3">
                  <c:v>2020</c:v>
                </c:pt>
                <c:pt idx="4">
                  <c:v>2021</c:v>
                </c:pt>
                <c:pt idx="5">
                  <c:v>2022</c:v>
                </c:pt>
                <c:pt idx="6">
                  <c:v>2023</c:v>
                </c:pt>
                <c:pt idx="7">
                  <c:v>2024</c:v>
                </c:pt>
                <c:pt idx="8">
                  <c:v>2025</c:v>
                </c:pt>
              </c:numCache>
            </c:numRef>
          </c:cat>
          <c:val>
            <c:numRef>
              <c:f>'F.cast FCF'!$C$25:$K$25</c:f>
              <c:numCache>
                <c:formatCode>_-* #\ ##0_-;\(#\ ##0\)_-;_-* "-"_-;_-@_-</c:formatCode>
                <c:ptCount val="9"/>
                <c:pt idx="0">
                  <c:v>229129.39600000001</c:v>
                </c:pt>
                <c:pt idx="1">
                  <c:v>395753.74</c:v>
                </c:pt>
                <c:pt idx="2">
                  <c:v>1786806.308</c:v>
                </c:pt>
                <c:pt idx="3">
                  <c:v>181789.56799999997</c:v>
                </c:pt>
                <c:pt idx="4">
                  <c:v>188781.64493000042</c:v>
                </c:pt>
                <c:pt idx="5">
                  <c:v>219115.60958263883</c:v>
                </c:pt>
                <c:pt idx="6">
                  <c:v>448544.21068746957</c:v>
                </c:pt>
                <c:pt idx="7">
                  <c:v>463181.39162956574</c:v>
                </c:pt>
                <c:pt idx="8">
                  <c:v>479127.37412593164</c:v>
                </c:pt>
              </c:numCache>
            </c:numRef>
          </c:val>
          <c:extLst>
            <c:ext xmlns:c16="http://schemas.microsoft.com/office/drawing/2014/chart" uri="{C3380CC4-5D6E-409C-BE32-E72D297353CC}">
              <c16:uniqueId val="{00000000-BF10-904D-9798-DDC7E610B9B2}"/>
            </c:ext>
          </c:extLst>
        </c:ser>
        <c:ser>
          <c:idx val="1"/>
          <c:order val="1"/>
          <c:tx>
            <c:strRef>
              <c:f>'F.cast FCF'!$B$26</c:f>
              <c:strCache>
                <c:ptCount val="1"/>
                <c:pt idx="0">
                  <c:v>FCFE (Free cash flow to equity holders</c:v>
                </c:pt>
              </c:strCache>
            </c:strRef>
          </c:tx>
          <c:spPr>
            <a:solidFill>
              <a:schemeClr val="accent2"/>
            </a:solidFill>
            <a:ln>
              <a:noFill/>
            </a:ln>
            <a:effectLst/>
          </c:spPr>
          <c:invertIfNegative val="0"/>
          <c:cat>
            <c:numRef>
              <c:f>'F.cast FCF'!$C$24:$K$24</c:f>
              <c:numCache>
                <c:formatCode>General</c:formatCode>
                <c:ptCount val="9"/>
                <c:pt idx="0">
                  <c:v>2017</c:v>
                </c:pt>
                <c:pt idx="1">
                  <c:v>2018</c:v>
                </c:pt>
                <c:pt idx="2">
                  <c:v>2019</c:v>
                </c:pt>
                <c:pt idx="3">
                  <c:v>2020</c:v>
                </c:pt>
                <c:pt idx="4">
                  <c:v>2021</c:v>
                </c:pt>
                <c:pt idx="5">
                  <c:v>2022</c:v>
                </c:pt>
                <c:pt idx="6">
                  <c:v>2023</c:v>
                </c:pt>
                <c:pt idx="7">
                  <c:v>2024</c:v>
                </c:pt>
                <c:pt idx="8">
                  <c:v>2025</c:v>
                </c:pt>
              </c:numCache>
            </c:numRef>
          </c:cat>
          <c:val>
            <c:numRef>
              <c:f>'F.cast FCF'!$C$26:$K$26</c:f>
              <c:numCache>
                <c:formatCode>_-* #\ ##0_-;\(#\ ##0\)_-;_-* "-"_-;_-@_-</c:formatCode>
                <c:ptCount val="9"/>
                <c:pt idx="0">
                  <c:v>-158453</c:v>
                </c:pt>
                <c:pt idx="1">
                  <c:v>480323</c:v>
                </c:pt>
                <c:pt idx="2">
                  <c:v>910219</c:v>
                </c:pt>
                <c:pt idx="3">
                  <c:v>2174490</c:v>
                </c:pt>
                <c:pt idx="4">
                  <c:v>193261.17114000034</c:v>
                </c:pt>
                <c:pt idx="5">
                  <c:v>361574.99523733946</c:v>
                </c:pt>
                <c:pt idx="6">
                  <c:v>517910.60531526653</c:v>
                </c:pt>
                <c:pt idx="7">
                  <c:v>536102.87000422308</c:v>
                </c:pt>
                <c:pt idx="8">
                  <c:v>555787.21787893341</c:v>
                </c:pt>
              </c:numCache>
            </c:numRef>
          </c:val>
          <c:extLst>
            <c:ext xmlns:c16="http://schemas.microsoft.com/office/drawing/2014/chart" uri="{C3380CC4-5D6E-409C-BE32-E72D297353CC}">
              <c16:uniqueId val="{00000001-BF10-904D-9798-DDC7E610B9B2}"/>
            </c:ext>
          </c:extLst>
        </c:ser>
        <c:dLbls>
          <c:showLegendKey val="0"/>
          <c:showVal val="0"/>
          <c:showCatName val="0"/>
          <c:showSerName val="0"/>
          <c:showPercent val="0"/>
          <c:showBubbleSize val="0"/>
        </c:dLbls>
        <c:gapWidth val="219"/>
        <c:overlap val="-27"/>
        <c:axId val="1740710351"/>
        <c:axId val="1725293279"/>
      </c:barChart>
      <c:catAx>
        <c:axId val="17407103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O"/>
          </a:p>
        </c:txPr>
        <c:crossAx val="1725293279"/>
        <c:crosses val="autoZero"/>
        <c:auto val="1"/>
        <c:lblAlgn val="ctr"/>
        <c:lblOffset val="100"/>
        <c:noMultiLvlLbl val="0"/>
      </c:catAx>
      <c:valAx>
        <c:axId val="1725293279"/>
        <c:scaling>
          <c:orientation val="minMax"/>
        </c:scaling>
        <c:delete val="0"/>
        <c:axPos val="l"/>
        <c:majorGridlines>
          <c:spPr>
            <a:ln w="9525" cap="flat" cmpd="sng" algn="ctr">
              <a:solidFill>
                <a:schemeClr val="tx1">
                  <a:lumMod val="15000"/>
                  <a:lumOff val="85000"/>
                </a:schemeClr>
              </a:solidFill>
              <a:round/>
            </a:ln>
            <a:effectLst/>
          </c:spPr>
        </c:majorGridlines>
        <c:numFmt formatCode="_-* #\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O"/>
          </a:p>
        </c:txPr>
        <c:crossAx val="17407103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Lønnsomhet og rentabilitet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NO"/>
        </a:p>
      </c:txPr>
    </c:title>
    <c:autoTitleDeleted val="0"/>
    <c:plotArea>
      <c:layout/>
      <c:lineChart>
        <c:grouping val="standard"/>
        <c:varyColors val="0"/>
        <c:ser>
          <c:idx val="0"/>
          <c:order val="0"/>
          <c:tx>
            <c:strRef>
              <c:f>Lønnsomhet!$B$59</c:f>
              <c:strCache>
                <c:ptCount val="1"/>
                <c:pt idx="0">
                  <c:v>WACC</c:v>
                </c:pt>
              </c:strCache>
            </c:strRef>
          </c:tx>
          <c:spPr>
            <a:ln w="28575" cap="rnd">
              <a:solidFill>
                <a:schemeClr val="accent1"/>
              </a:solidFill>
              <a:round/>
            </a:ln>
            <a:effectLst/>
          </c:spPr>
          <c:marker>
            <c:symbol val="none"/>
          </c:marker>
          <c:cat>
            <c:numRef>
              <c:f>Lønnsomhet!$D$58:$G$58</c:f>
              <c:numCache>
                <c:formatCode>General</c:formatCode>
                <c:ptCount val="4"/>
                <c:pt idx="0">
                  <c:v>2017</c:v>
                </c:pt>
                <c:pt idx="1">
                  <c:v>2018</c:v>
                </c:pt>
                <c:pt idx="2">
                  <c:v>2019</c:v>
                </c:pt>
                <c:pt idx="3">
                  <c:v>2020</c:v>
                </c:pt>
              </c:numCache>
            </c:numRef>
          </c:cat>
          <c:val>
            <c:numRef>
              <c:f>Lønnsomhet!$D$59:$G$59</c:f>
              <c:numCache>
                <c:formatCode>0.00%</c:formatCode>
                <c:ptCount val="4"/>
                <c:pt idx="0">
                  <c:v>8.2269995352546782E-2</c:v>
                </c:pt>
                <c:pt idx="1">
                  <c:v>8.6427638838367973E-2</c:v>
                </c:pt>
                <c:pt idx="2">
                  <c:v>0.11740415967343004</c:v>
                </c:pt>
                <c:pt idx="3">
                  <c:v>9.2286237242118388E-2</c:v>
                </c:pt>
              </c:numCache>
            </c:numRef>
          </c:val>
          <c:smooth val="0"/>
          <c:extLst>
            <c:ext xmlns:c16="http://schemas.microsoft.com/office/drawing/2014/chart" uri="{C3380CC4-5D6E-409C-BE32-E72D297353CC}">
              <c16:uniqueId val="{00000000-3B9A-6844-85F5-6F29BA593ECB}"/>
            </c:ext>
          </c:extLst>
        </c:ser>
        <c:ser>
          <c:idx val="1"/>
          <c:order val="1"/>
          <c:tx>
            <c:strRef>
              <c:f>Lønnsomhet!$B$60</c:f>
              <c:strCache>
                <c:ptCount val="1"/>
                <c:pt idx="0">
                  <c:v>re (required rate of return E)</c:v>
                </c:pt>
              </c:strCache>
            </c:strRef>
          </c:tx>
          <c:spPr>
            <a:ln w="28575" cap="rnd">
              <a:solidFill>
                <a:schemeClr val="accent2"/>
              </a:solidFill>
              <a:round/>
            </a:ln>
            <a:effectLst/>
          </c:spPr>
          <c:marker>
            <c:symbol val="none"/>
          </c:marker>
          <c:cat>
            <c:numRef>
              <c:f>Lønnsomhet!$D$58:$G$58</c:f>
              <c:numCache>
                <c:formatCode>General</c:formatCode>
                <c:ptCount val="4"/>
                <c:pt idx="0">
                  <c:v>2017</c:v>
                </c:pt>
                <c:pt idx="1">
                  <c:v>2018</c:v>
                </c:pt>
                <c:pt idx="2">
                  <c:v>2019</c:v>
                </c:pt>
                <c:pt idx="3">
                  <c:v>2020</c:v>
                </c:pt>
              </c:numCache>
            </c:numRef>
          </c:cat>
          <c:val>
            <c:numRef>
              <c:f>Lønnsomhet!$D$60:$G$60</c:f>
              <c:numCache>
                <c:formatCode>0.00%</c:formatCode>
                <c:ptCount val="4"/>
                <c:pt idx="0">
                  <c:v>0.11939199999999998</c:v>
                </c:pt>
                <c:pt idx="1">
                  <c:v>0.11982399999999999</c:v>
                </c:pt>
                <c:pt idx="2">
                  <c:v>0.11912199999999998</c:v>
                </c:pt>
                <c:pt idx="3">
                  <c:v>0.11791599999999997</c:v>
                </c:pt>
              </c:numCache>
            </c:numRef>
          </c:val>
          <c:smooth val="0"/>
          <c:extLst>
            <c:ext xmlns:c16="http://schemas.microsoft.com/office/drawing/2014/chart" uri="{C3380CC4-5D6E-409C-BE32-E72D297353CC}">
              <c16:uniqueId val="{00000001-3B9A-6844-85F5-6F29BA593ECB}"/>
            </c:ext>
          </c:extLst>
        </c:ser>
        <c:ser>
          <c:idx val="2"/>
          <c:order val="2"/>
          <c:tx>
            <c:strRef>
              <c:f>Lønnsomhet!$B$61</c:f>
              <c:strCache>
                <c:ptCount val="1"/>
                <c:pt idx="0">
                  <c:v>ROE</c:v>
                </c:pt>
              </c:strCache>
            </c:strRef>
          </c:tx>
          <c:spPr>
            <a:ln w="28575" cap="rnd">
              <a:solidFill>
                <a:schemeClr val="accent3"/>
              </a:solidFill>
              <a:round/>
            </a:ln>
            <a:effectLst/>
          </c:spPr>
          <c:marker>
            <c:symbol val="none"/>
          </c:marker>
          <c:cat>
            <c:numRef>
              <c:f>Lønnsomhet!$D$58:$G$58</c:f>
              <c:numCache>
                <c:formatCode>General</c:formatCode>
                <c:ptCount val="4"/>
                <c:pt idx="0">
                  <c:v>2017</c:v>
                </c:pt>
                <c:pt idx="1">
                  <c:v>2018</c:v>
                </c:pt>
                <c:pt idx="2">
                  <c:v>2019</c:v>
                </c:pt>
                <c:pt idx="3">
                  <c:v>2020</c:v>
                </c:pt>
              </c:numCache>
            </c:numRef>
          </c:cat>
          <c:val>
            <c:numRef>
              <c:f>Lønnsomhet!$D$61:$G$61</c:f>
              <c:numCache>
                <c:formatCode>0.00%</c:formatCode>
                <c:ptCount val="4"/>
                <c:pt idx="0">
                  <c:v>0.15578403379762237</c:v>
                </c:pt>
                <c:pt idx="1">
                  <c:v>0.19442809323570145</c:v>
                </c:pt>
                <c:pt idx="2">
                  <c:v>0.20397595279938197</c:v>
                </c:pt>
                <c:pt idx="3">
                  <c:v>0.16372014359699369</c:v>
                </c:pt>
              </c:numCache>
            </c:numRef>
          </c:val>
          <c:smooth val="0"/>
          <c:extLst>
            <c:ext xmlns:c16="http://schemas.microsoft.com/office/drawing/2014/chart" uri="{C3380CC4-5D6E-409C-BE32-E72D297353CC}">
              <c16:uniqueId val="{00000002-3B9A-6844-85F5-6F29BA593ECB}"/>
            </c:ext>
          </c:extLst>
        </c:ser>
        <c:ser>
          <c:idx val="3"/>
          <c:order val="3"/>
          <c:tx>
            <c:strRef>
              <c:f>Lønnsomhet!$B$62</c:f>
              <c:strCache>
                <c:ptCount val="1"/>
                <c:pt idx="0">
                  <c:v>ROIC after tax</c:v>
                </c:pt>
              </c:strCache>
            </c:strRef>
          </c:tx>
          <c:spPr>
            <a:ln w="28575" cap="rnd">
              <a:solidFill>
                <a:schemeClr val="accent4"/>
              </a:solidFill>
              <a:round/>
            </a:ln>
            <a:effectLst/>
          </c:spPr>
          <c:marker>
            <c:symbol val="none"/>
          </c:marker>
          <c:cat>
            <c:numRef>
              <c:f>Lønnsomhet!$D$58:$G$58</c:f>
              <c:numCache>
                <c:formatCode>General</c:formatCode>
                <c:ptCount val="4"/>
                <c:pt idx="0">
                  <c:v>2017</c:v>
                </c:pt>
                <c:pt idx="1">
                  <c:v>2018</c:v>
                </c:pt>
                <c:pt idx="2">
                  <c:v>2019</c:v>
                </c:pt>
                <c:pt idx="3">
                  <c:v>2020</c:v>
                </c:pt>
              </c:numCache>
            </c:numRef>
          </c:cat>
          <c:val>
            <c:numRef>
              <c:f>Lønnsomhet!$D$62:$G$62</c:f>
              <c:numCache>
                <c:formatCode>0.00%</c:formatCode>
                <c:ptCount val="4"/>
                <c:pt idx="0">
                  <c:v>9.6433766423850376E-2</c:v>
                </c:pt>
                <c:pt idx="1">
                  <c:v>0.12401508807068716</c:v>
                </c:pt>
                <c:pt idx="2">
                  <c:v>0.15728406332559025</c:v>
                </c:pt>
                <c:pt idx="3">
                  <c:v>0.12417115708630115</c:v>
                </c:pt>
              </c:numCache>
            </c:numRef>
          </c:val>
          <c:smooth val="0"/>
          <c:extLst>
            <c:ext xmlns:c16="http://schemas.microsoft.com/office/drawing/2014/chart" uri="{C3380CC4-5D6E-409C-BE32-E72D297353CC}">
              <c16:uniqueId val="{00000003-3B9A-6844-85F5-6F29BA593ECB}"/>
            </c:ext>
          </c:extLst>
        </c:ser>
        <c:dLbls>
          <c:showLegendKey val="0"/>
          <c:showVal val="0"/>
          <c:showCatName val="0"/>
          <c:showSerName val="0"/>
          <c:showPercent val="0"/>
          <c:showBubbleSize val="0"/>
        </c:dLbls>
        <c:smooth val="0"/>
        <c:axId val="534035616"/>
        <c:axId val="534589760"/>
      </c:lineChart>
      <c:catAx>
        <c:axId val="534035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NO"/>
          </a:p>
        </c:txPr>
        <c:crossAx val="534589760"/>
        <c:crosses val="autoZero"/>
        <c:auto val="1"/>
        <c:lblAlgn val="ctr"/>
        <c:lblOffset val="100"/>
        <c:noMultiLvlLbl val="0"/>
      </c:catAx>
      <c:valAx>
        <c:axId val="534589760"/>
        <c:scaling>
          <c:orientation val="minMax"/>
          <c:max val="0.30000000000000004"/>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NO"/>
          </a:p>
        </c:txPr>
        <c:crossAx val="534035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tx1"/>
                </a:solidFill>
                <a:effectLst>
                  <a:outerShdw blurRad="50800" dist="38100" dir="5400000" algn="t" rotWithShape="0">
                    <a:prstClr val="black">
                      <a:alpha val="40000"/>
                    </a:prstClr>
                  </a:outerShdw>
                </a:effectLst>
                <a:latin typeface="+mn-lt"/>
                <a:ea typeface="+mn-ea"/>
                <a:cs typeface="+mn-cs"/>
              </a:defRPr>
            </a:pPr>
            <a:r>
              <a:rPr lang="en-US">
                <a:solidFill>
                  <a:schemeClr val="tx1"/>
                </a:solidFill>
              </a:rPr>
              <a:t>Lønnsomhet og rentabilitet</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tx1"/>
              </a:solidFill>
              <a:effectLst>
                <a:outerShdw blurRad="50800" dist="38100" dir="5400000" algn="t" rotWithShape="0">
                  <a:prstClr val="black">
                    <a:alpha val="40000"/>
                  </a:prstClr>
                </a:outerShdw>
              </a:effectLst>
              <a:latin typeface="+mn-lt"/>
              <a:ea typeface="+mn-ea"/>
              <a:cs typeface="+mn-cs"/>
            </a:defRPr>
          </a:pPr>
          <a:endParaRPr lang="en-NO"/>
        </a:p>
      </c:txPr>
    </c:title>
    <c:autoTitleDeleted val="0"/>
    <c:plotArea>
      <c:layout/>
      <c:lineChart>
        <c:grouping val="standard"/>
        <c:varyColors val="0"/>
        <c:ser>
          <c:idx val="0"/>
          <c:order val="0"/>
          <c:tx>
            <c:strRef>
              <c:f>Lønnsomhet!$J$4</c:f>
              <c:strCache>
                <c:ptCount val="1"/>
                <c:pt idx="0">
                  <c:v>ROIC (after tax)</c:v>
                </c:pt>
              </c:strCache>
            </c:strRef>
          </c:tx>
          <c:spPr>
            <a:ln w="19050" cap="rnd">
              <a:solidFill>
                <a:schemeClr val="accent4"/>
              </a:solidFill>
              <a:round/>
            </a:ln>
            <a:effectLst/>
          </c:spPr>
          <c:marker>
            <c:symbol val="none"/>
          </c:marker>
          <c:dLbls>
            <c:dLbl>
              <c:idx val="0"/>
              <c:layout>
                <c:manualLayout>
                  <c:x val="-5.464204667188452E-2"/>
                  <c:y val="-4.1524784265485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E69-7F42-9E8A-F632D162A56D}"/>
                </c:ext>
              </c:extLst>
            </c:dLbl>
            <c:dLbl>
              <c:idx val="1"/>
              <c:layout>
                <c:manualLayout>
                  <c:x val="-6.097252768874916E-2"/>
                  <c:y val="-5.07525141022599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E69-7F42-9E8A-F632D162A56D}"/>
                </c:ext>
              </c:extLst>
            </c:dLbl>
            <c:dLbl>
              <c:idx val="2"/>
              <c:layout>
                <c:manualLayout>
                  <c:x val="-6.0979523661692236E-2"/>
                  <c:y val="-3.69109193470981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E69-7F42-9E8A-F632D162A56D}"/>
                </c:ext>
              </c:extLst>
            </c:dLbl>
            <c:dLbl>
              <c:idx val="3"/>
              <c:layout>
                <c:manualLayout>
                  <c:x val="-3.0430733309139028E-2"/>
                  <c:y val="-3.69109193470981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E69-7F42-9E8A-F632D162A56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4"/>
                    </a:solidFill>
                    <a:latin typeface="+mn-lt"/>
                    <a:ea typeface="+mn-ea"/>
                    <a:cs typeface="+mn-cs"/>
                  </a:defRPr>
                </a:pPr>
                <a:endParaRPr lang="en-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numRef>
              <c:f>Lønnsomhet!$K$3:$N$3</c:f>
              <c:numCache>
                <c:formatCode>General</c:formatCode>
                <c:ptCount val="4"/>
                <c:pt idx="0">
                  <c:v>2017</c:v>
                </c:pt>
                <c:pt idx="1">
                  <c:v>2018</c:v>
                </c:pt>
                <c:pt idx="2">
                  <c:v>2019</c:v>
                </c:pt>
                <c:pt idx="3">
                  <c:v>2020</c:v>
                </c:pt>
              </c:numCache>
            </c:numRef>
          </c:cat>
          <c:val>
            <c:numRef>
              <c:f>Lønnsomhet!$K$4:$N$4</c:f>
              <c:numCache>
                <c:formatCode>0.00%</c:formatCode>
                <c:ptCount val="4"/>
                <c:pt idx="0">
                  <c:v>9.6433766423850376E-2</c:v>
                </c:pt>
                <c:pt idx="1">
                  <c:v>0.12401508807068716</c:v>
                </c:pt>
                <c:pt idx="2">
                  <c:v>0.15728406332559025</c:v>
                </c:pt>
                <c:pt idx="3">
                  <c:v>0.12417115708630115</c:v>
                </c:pt>
              </c:numCache>
            </c:numRef>
          </c:val>
          <c:smooth val="0"/>
          <c:extLst>
            <c:ext xmlns:c16="http://schemas.microsoft.com/office/drawing/2014/chart" uri="{C3380CC4-5D6E-409C-BE32-E72D297353CC}">
              <c16:uniqueId val="{00000000-DE69-7F42-9E8A-F632D162A56D}"/>
            </c:ext>
          </c:extLst>
        </c:ser>
        <c:ser>
          <c:idx val="1"/>
          <c:order val="1"/>
          <c:tx>
            <c:strRef>
              <c:f>Lønnsomhet!$J$5</c:f>
              <c:strCache>
                <c:ptCount val="1"/>
                <c:pt idx="0">
                  <c:v>Wacc</c:v>
                </c:pt>
              </c:strCache>
            </c:strRef>
          </c:tx>
          <c:spPr>
            <a:ln w="19050" cap="rnd">
              <a:solidFill>
                <a:schemeClr val="accent2"/>
              </a:solidFill>
              <a:round/>
            </a:ln>
            <a:effectLst/>
          </c:spPr>
          <c:marker>
            <c:symbol val="none"/>
          </c:marker>
          <c:dLbls>
            <c:dLbl>
              <c:idx val="0"/>
              <c:layout>
                <c:manualLayout>
                  <c:x val="-5.464204667188452E-2"/>
                  <c:y val="3.69109193470981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E69-7F42-9E8A-F632D162A56D}"/>
                </c:ext>
              </c:extLst>
            </c:dLbl>
            <c:dLbl>
              <c:idx val="1"/>
              <c:layout>
                <c:manualLayout>
                  <c:x val="-5.4642046671884499E-2"/>
                  <c:y val="4.1524784265485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E69-7F42-9E8A-F632D162A56D}"/>
                </c:ext>
              </c:extLst>
            </c:dLbl>
            <c:dLbl>
              <c:idx val="2"/>
              <c:layout>
                <c:manualLayout>
                  <c:x val="-6.097252768874916E-2"/>
                  <c:y val="4.61386491838726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E69-7F42-9E8A-F632D162A56D}"/>
                </c:ext>
              </c:extLst>
            </c:dLbl>
            <c:dLbl>
              <c:idx val="3"/>
              <c:layout>
                <c:manualLayout>
                  <c:x val="-2.410025229227436E-2"/>
                  <c:y val="-3.69109193470981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E69-7F42-9E8A-F632D162A56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solidFill>
                    <a:latin typeface="+mn-lt"/>
                    <a:ea typeface="+mn-ea"/>
                    <a:cs typeface="+mn-cs"/>
                  </a:defRPr>
                </a:pPr>
                <a:endParaRPr lang="en-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numRef>
              <c:f>Lønnsomhet!$K$3:$N$3</c:f>
              <c:numCache>
                <c:formatCode>General</c:formatCode>
                <c:ptCount val="4"/>
                <c:pt idx="0">
                  <c:v>2017</c:v>
                </c:pt>
                <c:pt idx="1">
                  <c:v>2018</c:v>
                </c:pt>
                <c:pt idx="2">
                  <c:v>2019</c:v>
                </c:pt>
                <c:pt idx="3">
                  <c:v>2020</c:v>
                </c:pt>
              </c:numCache>
            </c:numRef>
          </c:cat>
          <c:val>
            <c:numRef>
              <c:f>Lønnsomhet!$K$5:$N$5</c:f>
              <c:numCache>
                <c:formatCode>0.00%</c:formatCode>
                <c:ptCount val="4"/>
                <c:pt idx="0">
                  <c:v>8.2269995352546782E-2</c:v>
                </c:pt>
                <c:pt idx="1">
                  <c:v>8.6427638838367973E-2</c:v>
                </c:pt>
                <c:pt idx="2">
                  <c:v>0.11740415967343004</c:v>
                </c:pt>
                <c:pt idx="3">
                  <c:v>9.2286237242118388E-2</c:v>
                </c:pt>
              </c:numCache>
            </c:numRef>
          </c:val>
          <c:smooth val="0"/>
          <c:extLst>
            <c:ext xmlns:c16="http://schemas.microsoft.com/office/drawing/2014/chart" uri="{C3380CC4-5D6E-409C-BE32-E72D297353CC}">
              <c16:uniqueId val="{00000001-DE69-7F42-9E8A-F632D162A56D}"/>
            </c:ext>
          </c:extLst>
        </c:ser>
        <c:ser>
          <c:idx val="2"/>
          <c:order val="2"/>
          <c:tx>
            <c:strRef>
              <c:f>Lønnsomhet!$J$6</c:f>
              <c:strCache>
                <c:ptCount val="1"/>
                <c:pt idx="0">
                  <c:v>rd</c:v>
                </c:pt>
              </c:strCache>
            </c:strRef>
          </c:tx>
          <c:spPr>
            <a:ln w="19050" cap="rnd">
              <a:solidFill>
                <a:schemeClr val="accent5"/>
              </a:solidFill>
              <a:round/>
            </a:ln>
            <a:effectLst/>
          </c:spPr>
          <c:marker>
            <c:symbol val="none"/>
          </c:marker>
          <c:dLbls>
            <c:dLbl>
              <c:idx val="0"/>
              <c:layout>
                <c:manualLayout>
                  <c:x val="-5.4649042644827596E-2"/>
                  <c:y val="-3.69109193470981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E69-7F42-9E8A-F632D162A56D}"/>
                </c:ext>
              </c:extLst>
            </c:dLbl>
            <c:dLbl>
              <c:idx val="1"/>
              <c:layout>
                <c:manualLayout>
                  <c:x val="-5.4642046671884499E-2"/>
                  <c:y val="3.69109193470979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E69-7F42-9E8A-F632D162A56D}"/>
                </c:ext>
              </c:extLst>
            </c:dLbl>
            <c:dLbl>
              <c:idx val="2"/>
              <c:layout>
                <c:manualLayout>
                  <c:x val="-5.4642046671884499E-2"/>
                  <c:y val="7.84357036125835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E69-7F42-9E8A-F632D162A56D}"/>
                </c:ext>
              </c:extLst>
            </c:dLbl>
            <c:dLbl>
              <c:idx val="3"/>
              <c:layout>
                <c:manualLayout>
                  <c:x val="-3.2429832577622504E-2"/>
                  <c:y val="-5.07525141022600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E69-7F42-9E8A-F632D162A56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5"/>
                    </a:solidFill>
                    <a:latin typeface="+mn-lt"/>
                    <a:ea typeface="+mn-ea"/>
                    <a:cs typeface="+mn-cs"/>
                  </a:defRPr>
                </a:pPr>
                <a:endParaRPr lang="en-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Lønnsomhet!$K$3:$N$3</c:f>
              <c:numCache>
                <c:formatCode>General</c:formatCode>
                <c:ptCount val="4"/>
                <c:pt idx="0">
                  <c:v>2017</c:v>
                </c:pt>
                <c:pt idx="1">
                  <c:v>2018</c:v>
                </c:pt>
                <c:pt idx="2">
                  <c:v>2019</c:v>
                </c:pt>
                <c:pt idx="3">
                  <c:v>2020</c:v>
                </c:pt>
              </c:numCache>
            </c:numRef>
          </c:cat>
          <c:val>
            <c:numRef>
              <c:f>Lønnsomhet!$K$6:$N$6</c:f>
              <c:numCache>
                <c:formatCode>0.00%</c:formatCode>
                <c:ptCount val="4"/>
                <c:pt idx="0">
                  <c:v>2.0014857031375812E-2</c:v>
                </c:pt>
                <c:pt idx="1">
                  <c:v>1.3823635216555823E-2</c:v>
                </c:pt>
                <c:pt idx="2">
                  <c:v>9.4032314912720058E-2</c:v>
                </c:pt>
                <c:pt idx="3">
                  <c:v>6.0159393987216916E-3</c:v>
                </c:pt>
              </c:numCache>
            </c:numRef>
          </c:val>
          <c:smooth val="0"/>
          <c:extLst>
            <c:ext xmlns:c16="http://schemas.microsoft.com/office/drawing/2014/chart" uri="{C3380CC4-5D6E-409C-BE32-E72D297353CC}">
              <c16:uniqueId val="{00000002-DE69-7F42-9E8A-F632D162A56D}"/>
            </c:ext>
          </c:extLst>
        </c:ser>
        <c:ser>
          <c:idx val="3"/>
          <c:order val="3"/>
          <c:tx>
            <c:strRef>
              <c:f>Lønnsomhet!$J$7</c:f>
              <c:strCache>
                <c:ptCount val="1"/>
                <c:pt idx="0">
                  <c:v>re</c:v>
                </c:pt>
              </c:strCache>
            </c:strRef>
          </c:tx>
          <c:spPr>
            <a:ln w="19050" cap="rnd">
              <a:solidFill>
                <a:schemeClr val="accent6"/>
              </a:solidFill>
              <a:round/>
            </a:ln>
            <a:effectLst/>
          </c:spPr>
          <c:marker>
            <c:symbol val="none"/>
          </c:marker>
          <c:dLbls>
            <c:dLbl>
              <c:idx val="0"/>
              <c:layout>
                <c:manualLayout>
                  <c:x val="-6.0972527688749188E-2"/>
                  <c:y val="-4.61386491838727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E69-7F42-9E8A-F632D162A56D}"/>
                </c:ext>
              </c:extLst>
            </c:dLbl>
            <c:dLbl>
              <c:idx val="1"/>
              <c:layout>
                <c:manualLayout>
                  <c:x val="-6.097252768874916E-2"/>
                  <c:y val="4.61386491838726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E69-7F42-9E8A-F632D162A56D}"/>
                </c:ext>
              </c:extLst>
            </c:dLbl>
            <c:dLbl>
              <c:idx val="2"/>
              <c:layout>
                <c:manualLayout>
                  <c:x val="-6.0979523661692236E-2"/>
                  <c:y val="-3.69109193470981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E69-7F42-9E8A-F632D162A56D}"/>
                </c:ext>
              </c:extLst>
            </c:dLbl>
            <c:dLbl>
              <c:idx val="3"/>
              <c:layout>
                <c:manualLayout>
                  <c:x val="-3.3207260070921674E-2"/>
                  <c:y val="-4.15247842654854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E69-7F42-9E8A-F632D162A56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en-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numRef>
              <c:f>Lønnsomhet!$K$3:$N$3</c:f>
              <c:numCache>
                <c:formatCode>General</c:formatCode>
                <c:ptCount val="4"/>
                <c:pt idx="0">
                  <c:v>2017</c:v>
                </c:pt>
                <c:pt idx="1">
                  <c:v>2018</c:v>
                </c:pt>
                <c:pt idx="2">
                  <c:v>2019</c:v>
                </c:pt>
                <c:pt idx="3">
                  <c:v>2020</c:v>
                </c:pt>
              </c:numCache>
            </c:numRef>
          </c:cat>
          <c:val>
            <c:numRef>
              <c:f>Lønnsomhet!$K$7:$N$7</c:f>
              <c:numCache>
                <c:formatCode>0.00%</c:formatCode>
                <c:ptCount val="4"/>
                <c:pt idx="0">
                  <c:v>0.11939199999999998</c:v>
                </c:pt>
                <c:pt idx="1">
                  <c:v>0.11982399999999999</c:v>
                </c:pt>
                <c:pt idx="2">
                  <c:v>0.11912199999999998</c:v>
                </c:pt>
                <c:pt idx="3">
                  <c:v>0.11791599999999997</c:v>
                </c:pt>
              </c:numCache>
            </c:numRef>
          </c:val>
          <c:smooth val="0"/>
          <c:extLst>
            <c:ext xmlns:c16="http://schemas.microsoft.com/office/drawing/2014/chart" uri="{C3380CC4-5D6E-409C-BE32-E72D297353CC}">
              <c16:uniqueId val="{00000003-DE69-7F42-9E8A-F632D162A56D}"/>
            </c:ext>
          </c:extLst>
        </c:ser>
        <c:dLbls>
          <c:dLblPos val="ctr"/>
          <c:showLegendKey val="0"/>
          <c:showVal val="1"/>
          <c:showCatName val="0"/>
          <c:showSerName val="0"/>
          <c:showPercent val="0"/>
          <c:showBubbleSize val="0"/>
        </c:dLbls>
        <c:smooth val="0"/>
        <c:axId val="582266656"/>
        <c:axId val="582886176"/>
      </c:lineChart>
      <c:catAx>
        <c:axId val="582266656"/>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NO"/>
          </a:p>
        </c:txPr>
        <c:crossAx val="582886176"/>
        <c:crosses val="autoZero"/>
        <c:auto val="1"/>
        <c:lblAlgn val="ctr"/>
        <c:lblOffset val="100"/>
        <c:noMultiLvlLbl val="0"/>
      </c:catAx>
      <c:valAx>
        <c:axId val="582886176"/>
        <c:scaling>
          <c:orientation val="minMax"/>
        </c:scaling>
        <c:delete val="0"/>
        <c:axPos val="l"/>
        <c:majorGridlines>
          <c:spPr>
            <a:ln w="9525" cap="flat" cmpd="sng" algn="ctr">
              <a:solidFill>
                <a:schemeClr val="tx1">
                  <a:lumMod val="50000"/>
                  <a:lumOff val="50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NO"/>
          </a:p>
        </c:txPr>
        <c:crossAx val="582266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NO"/>
        </a:p>
      </c:txPr>
    </c:legend>
    <c:plotVisOnly val="1"/>
    <c:dispBlanksAs val="gap"/>
    <c:showDLblsOverMax val="0"/>
  </c:chart>
  <c:spPr>
    <a:solidFill>
      <a:schemeClr val="bg1"/>
    </a:solidFill>
    <a:ln>
      <a:solidFill>
        <a:schemeClr val="tx1"/>
      </a:solidFill>
    </a:ln>
    <a:effectLst/>
  </c:spPr>
  <c:txPr>
    <a:bodyPr/>
    <a:lstStyle/>
    <a:p>
      <a:pPr>
        <a:defRPr/>
      </a:pPr>
      <a:endParaRPr lang="en-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285137259076628E-2"/>
          <c:y val="6.3814372805667194E-2"/>
          <c:w val="0.93471486274092341"/>
          <c:h val="0.668976073949758"/>
        </c:manualLayout>
      </c:layout>
      <c:lineChart>
        <c:grouping val="standard"/>
        <c:varyColors val="0"/>
        <c:ser>
          <c:idx val="0"/>
          <c:order val="0"/>
          <c:tx>
            <c:strRef>
              <c:f>Lønnsomhet!$J$4</c:f>
              <c:strCache>
                <c:ptCount val="1"/>
                <c:pt idx="0">
                  <c:v>ROIC (after tax)</c:v>
                </c:pt>
              </c:strCache>
            </c:strRef>
          </c:tx>
          <c:spPr>
            <a:ln w="25400" cap="rnd">
              <a:solidFill>
                <a:srgbClr val="14555A"/>
              </a:solidFill>
              <a:round/>
            </a:ln>
            <a:effectLst/>
          </c:spPr>
          <c:marker>
            <c:symbol val="none"/>
          </c:marker>
          <c:cat>
            <c:numRef>
              <c:f>Lønnsomhet!$K$3:$N$3</c:f>
              <c:numCache>
                <c:formatCode>General</c:formatCode>
                <c:ptCount val="4"/>
                <c:pt idx="0">
                  <c:v>2017</c:v>
                </c:pt>
                <c:pt idx="1">
                  <c:v>2018</c:v>
                </c:pt>
                <c:pt idx="2">
                  <c:v>2019</c:v>
                </c:pt>
                <c:pt idx="3">
                  <c:v>2020</c:v>
                </c:pt>
              </c:numCache>
            </c:numRef>
          </c:cat>
          <c:val>
            <c:numRef>
              <c:f>Lønnsomhet!$K$4:$N$4</c:f>
              <c:numCache>
                <c:formatCode>0.00%</c:formatCode>
                <c:ptCount val="4"/>
                <c:pt idx="0">
                  <c:v>9.6433766423850376E-2</c:v>
                </c:pt>
                <c:pt idx="1">
                  <c:v>0.12401508807068716</c:v>
                </c:pt>
                <c:pt idx="2">
                  <c:v>0.15728406332559025</c:v>
                </c:pt>
                <c:pt idx="3">
                  <c:v>0.12417115708630115</c:v>
                </c:pt>
              </c:numCache>
            </c:numRef>
          </c:val>
          <c:smooth val="0"/>
          <c:extLst>
            <c:ext xmlns:c16="http://schemas.microsoft.com/office/drawing/2014/chart" uri="{C3380CC4-5D6E-409C-BE32-E72D297353CC}">
              <c16:uniqueId val="{00000000-344B-0045-ADE7-8D55F7700BD7}"/>
            </c:ext>
          </c:extLst>
        </c:ser>
        <c:ser>
          <c:idx val="1"/>
          <c:order val="1"/>
          <c:tx>
            <c:strRef>
              <c:f>Lønnsomhet!$J$5</c:f>
              <c:strCache>
                <c:ptCount val="1"/>
                <c:pt idx="0">
                  <c:v>Wacc</c:v>
                </c:pt>
              </c:strCache>
            </c:strRef>
          </c:tx>
          <c:spPr>
            <a:ln w="25400" cap="rnd">
              <a:solidFill>
                <a:srgbClr val="A5E1D2"/>
              </a:solidFill>
              <a:round/>
            </a:ln>
            <a:effectLst/>
          </c:spPr>
          <c:marker>
            <c:symbol val="none"/>
          </c:marker>
          <c:cat>
            <c:numRef>
              <c:f>Lønnsomhet!$K$3:$N$3</c:f>
              <c:numCache>
                <c:formatCode>General</c:formatCode>
                <c:ptCount val="4"/>
                <c:pt idx="0">
                  <c:v>2017</c:v>
                </c:pt>
                <c:pt idx="1">
                  <c:v>2018</c:v>
                </c:pt>
                <c:pt idx="2">
                  <c:v>2019</c:v>
                </c:pt>
                <c:pt idx="3">
                  <c:v>2020</c:v>
                </c:pt>
              </c:numCache>
            </c:numRef>
          </c:cat>
          <c:val>
            <c:numRef>
              <c:f>Lønnsomhet!$K$5:$N$5</c:f>
              <c:numCache>
                <c:formatCode>0.00%</c:formatCode>
                <c:ptCount val="4"/>
                <c:pt idx="0">
                  <c:v>8.2269995352546782E-2</c:v>
                </c:pt>
                <c:pt idx="1">
                  <c:v>8.6427638838367973E-2</c:v>
                </c:pt>
                <c:pt idx="2">
                  <c:v>0.11740415967343004</c:v>
                </c:pt>
                <c:pt idx="3">
                  <c:v>9.2286237242118388E-2</c:v>
                </c:pt>
              </c:numCache>
            </c:numRef>
          </c:val>
          <c:smooth val="0"/>
          <c:extLst>
            <c:ext xmlns:c16="http://schemas.microsoft.com/office/drawing/2014/chart" uri="{C3380CC4-5D6E-409C-BE32-E72D297353CC}">
              <c16:uniqueId val="{00000001-344B-0045-ADE7-8D55F7700BD7}"/>
            </c:ext>
          </c:extLst>
        </c:ser>
        <c:ser>
          <c:idx val="2"/>
          <c:order val="2"/>
          <c:tx>
            <c:strRef>
              <c:f>Lønnsomhet!$J$6</c:f>
              <c:strCache>
                <c:ptCount val="1"/>
                <c:pt idx="0">
                  <c:v>rd</c:v>
                </c:pt>
              </c:strCache>
            </c:strRef>
          </c:tx>
          <c:spPr>
            <a:ln w="25400" cap="rnd">
              <a:solidFill>
                <a:srgbClr val="28B482"/>
              </a:solidFill>
              <a:round/>
            </a:ln>
            <a:effectLst/>
          </c:spPr>
          <c:marker>
            <c:symbol val="none"/>
          </c:marker>
          <c:cat>
            <c:numRef>
              <c:f>Lønnsomhet!$K$3:$N$3</c:f>
              <c:numCache>
                <c:formatCode>General</c:formatCode>
                <c:ptCount val="4"/>
                <c:pt idx="0">
                  <c:v>2017</c:v>
                </c:pt>
                <c:pt idx="1">
                  <c:v>2018</c:v>
                </c:pt>
                <c:pt idx="2">
                  <c:v>2019</c:v>
                </c:pt>
                <c:pt idx="3">
                  <c:v>2020</c:v>
                </c:pt>
              </c:numCache>
            </c:numRef>
          </c:cat>
          <c:val>
            <c:numRef>
              <c:f>Lønnsomhet!$K$6:$N$6</c:f>
              <c:numCache>
                <c:formatCode>0.00%</c:formatCode>
                <c:ptCount val="4"/>
                <c:pt idx="0">
                  <c:v>2.0014857031375812E-2</c:v>
                </c:pt>
                <c:pt idx="1">
                  <c:v>1.3823635216555823E-2</c:v>
                </c:pt>
                <c:pt idx="2">
                  <c:v>9.4032314912720058E-2</c:v>
                </c:pt>
                <c:pt idx="3">
                  <c:v>6.0159393987216916E-3</c:v>
                </c:pt>
              </c:numCache>
            </c:numRef>
          </c:val>
          <c:smooth val="0"/>
          <c:extLst>
            <c:ext xmlns:c16="http://schemas.microsoft.com/office/drawing/2014/chart" uri="{C3380CC4-5D6E-409C-BE32-E72D297353CC}">
              <c16:uniqueId val="{00000002-344B-0045-ADE7-8D55F7700BD7}"/>
            </c:ext>
          </c:extLst>
        </c:ser>
        <c:ser>
          <c:idx val="3"/>
          <c:order val="3"/>
          <c:tx>
            <c:strRef>
              <c:f>Lønnsomhet!$J$7</c:f>
              <c:strCache>
                <c:ptCount val="1"/>
                <c:pt idx="0">
                  <c:v>re</c:v>
                </c:pt>
              </c:strCache>
            </c:strRef>
          </c:tx>
          <c:spPr>
            <a:ln w="25400" cap="rnd">
              <a:solidFill>
                <a:srgbClr val="009C9D"/>
              </a:solidFill>
              <a:round/>
            </a:ln>
            <a:effectLst/>
          </c:spPr>
          <c:marker>
            <c:symbol val="none"/>
          </c:marker>
          <c:cat>
            <c:numRef>
              <c:f>Lønnsomhet!$K$3:$N$3</c:f>
              <c:numCache>
                <c:formatCode>General</c:formatCode>
                <c:ptCount val="4"/>
                <c:pt idx="0">
                  <c:v>2017</c:v>
                </c:pt>
                <c:pt idx="1">
                  <c:v>2018</c:v>
                </c:pt>
                <c:pt idx="2">
                  <c:v>2019</c:v>
                </c:pt>
                <c:pt idx="3">
                  <c:v>2020</c:v>
                </c:pt>
              </c:numCache>
            </c:numRef>
          </c:cat>
          <c:val>
            <c:numRef>
              <c:f>Lønnsomhet!$K$7:$N$7</c:f>
              <c:numCache>
                <c:formatCode>0.00%</c:formatCode>
                <c:ptCount val="4"/>
                <c:pt idx="0">
                  <c:v>0.11939199999999998</c:v>
                </c:pt>
                <c:pt idx="1">
                  <c:v>0.11982399999999999</c:v>
                </c:pt>
                <c:pt idx="2">
                  <c:v>0.11912199999999998</c:v>
                </c:pt>
                <c:pt idx="3">
                  <c:v>0.11791599999999997</c:v>
                </c:pt>
              </c:numCache>
            </c:numRef>
          </c:val>
          <c:smooth val="0"/>
          <c:extLst>
            <c:ext xmlns:c16="http://schemas.microsoft.com/office/drawing/2014/chart" uri="{C3380CC4-5D6E-409C-BE32-E72D297353CC}">
              <c16:uniqueId val="{00000003-344B-0045-ADE7-8D55F7700BD7}"/>
            </c:ext>
          </c:extLst>
        </c:ser>
        <c:dLbls>
          <c:showLegendKey val="0"/>
          <c:showVal val="0"/>
          <c:showCatName val="0"/>
          <c:showSerName val="0"/>
          <c:showPercent val="0"/>
          <c:showBubbleSize val="0"/>
        </c:dLbls>
        <c:smooth val="0"/>
        <c:axId val="1829187583"/>
        <c:axId val="1829312495"/>
      </c:lineChart>
      <c:catAx>
        <c:axId val="18291875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rgbClr val="007272"/>
                </a:solidFill>
                <a:latin typeface="+mn-lt"/>
                <a:ea typeface="+mn-ea"/>
                <a:cs typeface="+mn-cs"/>
              </a:defRPr>
            </a:pPr>
            <a:endParaRPr lang="en-NO"/>
          </a:p>
        </c:txPr>
        <c:crossAx val="1829312495"/>
        <c:crosses val="autoZero"/>
        <c:auto val="1"/>
        <c:lblAlgn val="ctr"/>
        <c:lblOffset val="100"/>
        <c:noMultiLvlLbl val="0"/>
      </c:catAx>
      <c:valAx>
        <c:axId val="1829312495"/>
        <c:scaling>
          <c:orientation val="minMax"/>
        </c:scaling>
        <c:delete val="0"/>
        <c:axPos val="l"/>
        <c:majorGridlines>
          <c:spPr>
            <a:ln w="6350"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numFmt formatCode="0%" sourceLinked="0"/>
        <c:majorTickMark val="none"/>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800" b="1" i="0" u="none" strike="noStrike" kern="1200" baseline="0">
                <a:solidFill>
                  <a:srgbClr val="007272"/>
                </a:solidFill>
                <a:latin typeface="+mn-lt"/>
                <a:ea typeface="+mn-ea"/>
                <a:cs typeface="+mn-cs"/>
              </a:defRPr>
            </a:pPr>
            <a:endParaRPr lang="en-NO"/>
          </a:p>
        </c:txPr>
        <c:crossAx val="1829187583"/>
        <c:crosses val="autoZero"/>
        <c:crossBetween val="between"/>
      </c:valAx>
      <c:spPr>
        <a:noFill/>
        <a:ln cap="sq">
          <a:noFill/>
          <a:round/>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O"/>
        </a:p>
      </c:txPr>
    </c:legend>
    <c:plotVisOnly val="1"/>
    <c:dispBlanksAs val="gap"/>
    <c:showDLblsOverMax val="0"/>
  </c:chart>
  <c:spPr>
    <a:solidFill>
      <a:schemeClr val="bg1"/>
    </a:solidFill>
    <a:ln w="9525" cap="flat" cmpd="sng" algn="ctr">
      <a:noFill/>
      <a:round/>
    </a:ln>
    <a:effectLst/>
  </c:spPr>
  <c:txPr>
    <a:bodyPr/>
    <a:lstStyle/>
    <a:p>
      <a:pPr>
        <a:defRPr/>
      </a:pPr>
      <a:endParaRPr lang="en-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Lønnsomhet!$J$4</c:f>
              <c:strCache>
                <c:ptCount val="1"/>
                <c:pt idx="0">
                  <c:v>ROIC (after tax)</c:v>
                </c:pt>
              </c:strCache>
            </c:strRef>
          </c:tx>
          <c:spPr>
            <a:ln w="28575" cap="rnd">
              <a:solidFill>
                <a:srgbClr val="7B9E87"/>
              </a:solidFill>
              <a:round/>
            </a:ln>
            <a:effectLst/>
          </c:spPr>
          <c:marker>
            <c:symbol val="none"/>
          </c:marker>
          <c:cat>
            <c:numRef>
              <c:f>Lønnsomhet!$K$3:$N$3</c:f>
              <c:numCache>
                <c:formatCode>General</c:formatCode>
                <c:ptCount val="4"/>
                <c:pt idx="0">
                  <c:v>2017</c:v>
                </c:pt>
                <c:pt idx="1">
                  <c:v>2018</c:v>
                </c:pt>
                <c:pt idx="2">
                  <c:v>2019</c:v>
                </c:pt>
                <c:pt idx="3">
                  <c:v>2020</c:v>
                </c:pt>
              </c:numCache>
            </c:numRef>
          </c:cat>
          <c:val>
            <c:numRef>
              <c:f>Lønnsomhet!$K$4:$N$4</c:f>
              <c:numCache>
                <c:formatCode>0.00%</c:formatCode>
                <c:ptCount val="4"/>
                <c:pt idx="0">
                  <c:v>9.6433766423850376E-2</c:v>
                </c:pt>
                <c:pt idx="1">
                  <c:v>0.12401508807068716</c:v>
                </c:pt>
                <c:pt idx="2">
                  <c:v>0.15728406332559025</c:v>
                </c:pt>
                <c:pt idx="3">
                  <c:v>0.12417115708630115</c:v>
                </c:pt>
              </c:numCache>
            </c:numRef>
          </c:val>
          <c:smooth val="0"/>
          <c:extLst>
            <c:ext xmlns:c16="http://schemas.microsoft.com/office/drawing/2014/chart" uri="{C3380CC4-5D6E-409C-BE32-E72D297353CC}">
              <c16:uniqueId val="{00000000-5265-3947-9B64-F29F4BE2C014}"/>
            </c:ext>
          </c:extLst>
        </c:ser>
        <c:ser>
          <c:idx val="1"/>
          <c:order val="1"/>
          <c:tx>
            <c:strRef>
              <c:f>Lønnsomhet!$J$5</c:f>
              <c:strCache>
                <c:ptCount val="1"/>
                <c:pt idx="0">
                  <c:v>Wacc</c:v>
                </c:pt>
              </c:strCache>
            </c:strRef>
          </c:tx>
          <c:spPr>
            <a:ln w="28575" cap="rnd">
              <a:solidFill>
                <a:srgbClr val="C06060"/>
              </a:solidFill>
              <a:round/>
            </a:ln>
            <a:effectLst/>
          </c:spPr>
          <c:marker>
            <c:symbol val="none"/>
          </c:marker>
          <c:cat>
            <c:numRef>
              <c:f>Lønnsomhet!$K$3:$N$3</c:f>
              <c:numCache>
                <c:formatCode>General</c:formatCode>
                <c:ptCount val="4"/>
                <c:pt idx="0">
                  <c:v>2017</c:v>
                </c:pt>
                <c:pt idx="1">
                  <c:v>2018</c:v>
                </c:pt>
                <c:pt idx="2">
                  <c:v>2019</c:v>
                </c:pt>
                <c:pt idx="3">
                  <c:v>2020</c:v>
                </c:pt>
              </c:numCache>
            </c:numRef>
          </c:cat>
          <c:val>
            <c:numRef>
              <c:f>Lønnsomhet!$K$5:$N$5</c:f>
              <c:numCache>
                <c:formatCode>0.00%</c:formatCode>
                <c:ptCount val="4"/>
                <c:pt idx="0">
                  <c:v>8.2269995352546782E-2</c:v>
                </c:pt>
                <c:pt idx="1">
                  <c:v>8.6427638838367973E-2</c:v>
                </c:pt>
                <c:pt idx="2">
                  <c:v>0.11740415967343004</c:v>
                </c:pt>
                <c:pt idx="3">
                  <c:v>9.2286237242118388E-2</c:v>
                </c:pt>
              </c:numCache>
            </c:numRef>
          </c:val>
          <c:smooth val="0"/>
          <c:extLst>
            <c:ext xmlns:c16="http://schemas.microsoft.com/office/drawing/2014/chart" uri="{C3380CC4-5D6E-409C-BE32-E72D297353CC}">
              <c16:uniqueId val="{00000001-5265-3947-9B64-F29F4BE2C014}"/>
            </c:ext>
          </c:extLst>
        </c:ser>
        <c:ser>
          <c:idx val="2"/>
          <c:order val="2"/>
          <c:tx>
            <c:strRef>
              <c:f>Lønnsomhet!$J$6</c:f>
              <c:strCache>
                <c:ptCount val="1"/>
                <c:pt idx="0">
                  <c:v>rd</c:v>
                </c:pt>
              </c:strCache>
            </c:strRef>
          </c:tx>
          <c:spPr>
            <a:ln w="28575" cap="rnd">
              <a:solidFill>
                <a:srgbClr val="3C7B98"/>
              </a:solidFill>
              <a:round/>
            </a:ln>
            <a:effectLst/>
          </c:spPr>
          <c:marker>
            <c:symbol val="none"/>
          </c:marker>
          <c:cat>
            <c:numRef>
              <c:f>Lønnsomhet!$K$3:$N$3</c:f>
              <c:numCache>
                <c:formatCode>General</c:formatCode>
                <c:ptCount val="4"/>
                <c:pt idx="0">
                  <c:v>2017</c:v>
                </c:pt>
                <c:pt idx="1">
                  <c:v>2018</c:v>
                </c:pt>
                <c:pt idx="2">
                  <c:v>2019</c:v>
                </c:pt>
                <c:pt idx="3">
                  <c:v>2020</c:v>
                </c:pt>
              </c:numCache>
            </c:numRef>
          </c:cat>
          <c:val>
            <c:numRef>
              <c:f>Lønnsomhet!$K$6:$N$6</c:f>
              <c:numCache>
                <c:formatCode>0.00%</c:formatCode>
                <c:ptCount val="4"/>
                <c:pt idx="0">
                  <c:v>2.0014857031375812E-2</c:v>
                </c:pt>
                <c:pt idx="1">
                  <c:v>1.3823635216555823E-2</c:v>
                </c:pt>
                <c:pt idx="2">
                  <c:v>9.4032314912720058E-2</c:v>
                </c:pt>
                <c:pt idx="3">
                  <c:v>6.0159393987216916E-3</c:v>
                </c:pt>
              </c:numCache>
            </c:numRef>
          </c:val>
          <c:smooth val="0"/>
          <c:extLst>
            <c:ext xmlns:c16="http://schemas.microsoft.com/office/drawing/2014/chart" uri="{C3380CC4-5D6E-409C-BE32-E72D297353CC}">
              <c16:uniqueId val="{00000002-5265-3947-9B64-F29F4BE2C014}"/>
            </c:ext>
          </c:extLst>
        </c:ser>
        <c:ser>
          <c:idx val="3"/>
          <c:order val="3"/>
          <c:tx>
            <c:strRef>
              <c:f>Lønnsomhet!$J$7</c:f>
              <c:strCache>
                <c:ptCount val="1"/>
                <c:pt idx="0">
                  <c:v>re</c:v>
                </c:pt>
              </c:strCache>
            </c:strRef>
          </c:tx>
          <c:spPr>
            <a:ln w="28575" cap="rnd">
              <a:solidFill>
                <a:srgbClr val="E0B891"/>
              </a:solidFill>
              <a:round/>
            </a:ln>
            <a:effectLst/>
          </c:spPr>
          <c:marker>
            <c:symbol val="none"/>
          </c:marker>
          <c:cat>
            <c:numRef>
              <c:f>Lønnsomhet!$K$3:$N$3</c:f>
              <c:numCache>
                <c:formatCode>General</c:formatCode>
                <c:ptCount val="4"/>
                <c:pt idx="0">
                  <c:v>2017</c:v>
                </c:pt>
                <c:pt idx="1">
                  <c:v>2018</c:v>
                </c:pt>
                <c:pt idx="2">
                  <c:v>2019</c:v>
                </c:pt>
                <c:pt idx="3">
                  <c:v>2020</c:v>
                </c:pt>
              </c:numCache>
            </c:numRef>
          </c:cat>
          <c:val>
            <c:numRef>
              <c:f>Lønnsomhet!$K$7:$N$7</c:f>
              <c:numCache>
                <c:formatCode>0.00%</c:formatCode>
                <c:ptCount val="4"/>
                <c:pt idx="0">
                  <c:v>0.11939199999999998</c:v>
                </c:pt>
                <c:pt idx="1">
                  <c:v>0.11982399999999999</c:v>
                </c:pt>
                <c:pt idx="2">
                  <c:v>0.11912199999999998</c:v>
                </c:pt>
                <c:pt idx="3">
                  <c:v>0.11791599999999997</c:v>
                </c:pt>
              </c:numCache>
            </c:numRef>
          </c:val>
          <c:smooth val="0"/>
          <c:extLst>
            <c:ext xmlns:c16="http://schemas.microsoft.com/office/drawing/2014/chart" uri="{C3380CC4-5D6E-409C-BE32-E72D297353CC}">
              <c16:uniqueId val="{00000003-5265-3947-9B64-F29F4BE2C014}"/>
            </c:ext>
          </c:extLst>
        </c:ser>
        <c:dLbls>
          <c:showLegendKey val="0"/>
          <c:showVal val="0"/>
          <c:showCatName val="0"/>
          <c:showSerName val="0"/>
          <c:showPercent val="0"/>
          <c:showBubbleSize val="0"/>
        </c:dLbls>
        <c:smooth val="0"/>
        <c:axId val="1829187583"/>
        <c:axId val="1829312495"/>
      </c:lineChart>
      <c:catAx>
        <c:axId val="18291875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7272"/>
                </a:solidFill>
                <a:latin typeface="+mn-lt"/>
                <a:ea typeface="+mn-ea"/>
                <a:cs typeface="+mn-cs"/>
              </a:defRPr>
            </a:pPr>
            <a:endParaRPr lang="en-NO"/>
          </a:p>
        </c:txPr>
        <c:crossAx val="1829312495"/>
        <c:crosses val="autoZero"/>
        <c:auto val="1"/>
        <c:lblAlgn val="ctr"/>
        <c:lblOffset val="100"/>
        <c:noMultiLvlLbl val="0"/>
      </c:catAx>
      <c:valAx>
        <c:axId val="1829312495"/>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1829187583"/>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07758744903926"/>
          <c:y val="0.14351851851851852"/>
          <c:w val="0.79086105625386705"/>
          <c:h val="0.64323964712744242"/>
        </c:manualLayout>
      </c:layout>
      <c:barChart>
        <c:barDir val="col"/>
        <c:grouping val="clustered"/>
        <c:varyColors val="0"/>
        <c:ser>
          <c:idx val="1"/>
          <c:order val="1"/>
          <c:tx>
            <c:strRef>
              <c:f>Vekst!$U$12</c:f>
              <c:strCache>
                <c:ptCount val="1"/>
                <c:pt idx="0">
                  <c:v>Current ratio</c:v>
                </c:pt>
              </c:strCache>
            </c:strRef>
          </c:tx>
          <c:spPr>
            <a:solidFill>
              <a:schemeClr val="accent6">
                <a:lumMod val="60000"/>
                <a:lumOff val="40000"/>
              </a:schemeClr>
            </a:solidFill>
            <a:ln>
              <a:noFill/>
            </a:ln>
            <a:effectLst/>
          </c:spPr>
          <c:invertIfNegative val="0"/>
          <c:cat>
            <c:numRef>
              <c:f>Vekst!$V$10:$Z$10</c:f>
              <c:numCache>
                <c:formatCode>General</c:formatCode>
                <c:ptCount val="5"/>
                <c:pt idx="0">
                  <c:v>2016</c:v>
                </c:pt>
                <c:pt idx="1">
                  <c:v>2017</c:v>
                </c:pt>
                <c:pt idx="2">
                  <c:v>2018</c:v>
                </c:pt>
                <c:pt idx="3">
                  <c:v>2019</c:v>
                </c:pt>
                <c:pt idx="4">
                  <c:v>2020</c:v>
                </c:pt>
              </c:numCache>
            </c:numRef>
          </c:cat>
          <c:val>
            <c:numRef>
              <c:f>Vekst!$V$12:$Z$12</c:f>
              <c:numCache>
                <c:formatCode>General</c:formatCode>
                <c:ptCount val="5"/>
                <c:pt idx="0">
                  <c:v>1.73</c:v>
                </c:pt>
                <c:pt idx="1">
                  <c:v>1.52</c:v>
                </c:pt>
                <c:pt idx="2">
                  <c:v>1.92</c:v>
                </c:pt>
                <c:pt idx="3">
                  <c:v>1.96</c:v>
                </c:pt>
                <c:pt idx="4">
                  <c:v>1.69</c:v>
                </c:pt>
              </c:numCache>
            </c:numRef>
          </c:val>
          <c:extLst>
            <c:ext xmlns:c16="http://schemas.microsoft.com/office/drawing/2014/chart" uri="{C3380CC4-5D6E-409C-BE32-E72D297353CC}">
              <c16:uniqueId val="{00000001-8C70-6244-A3C0-35A307BDC21A}"/>
            </c:ext>
          </c:extLst>
        </c:ser>
        <c:ser>
          <c:idx val="2"/>
          <c:order val="2"/>
          <c:tx>
            <c:strRef>
              <c:f>Vekst!$U$13</c:f>
              <c:strCache>
                <c:ptCount val="1"/>
                <c:pt idx="0">
                  <c:v>Quick ratio</c:v>
                </c:pt>
              </c:strCache>
            </c:strRef>
          </c:tx>
          <c:spPr>
            <a:solidFill>
              <a:schemeClr val="accent2">
                <a:lumMod val="60000"/>
                <a:lumOff val="40000"/>
              </a:schemeClr>
            </a:solidFill>
            <a:ln>
              <a:noFill/>
            </a:ln>
            <a:effectLst/>
          </c:spPr>
          <c:invertIfNegative val="0"/>
          <c:cat>
            <c:numRef>
              <c:f>Vekst!$V$10:$Z$10</c:f>
              <c:numCache>
                <c:formatCode>General</c:formatCode>
                <c:ptCount val="5"/>
                <c:pt idx="0">
                  <c:v>2016</c:v>
                </c:pt>
                <c:pt idx="1">
                  <c:v>2017</c:v>
                </c:pt>
                <c:pt idx="2">
                  <c:v>2018</c:v>
                </c:pt>
                <c:pt idx="3">
                  <c:v>2019</c:v>
                </c:pt>
                <c:pt idx="4">
                  <c:v>2020</c:v>
                </c:pt>
              </c:numCache>
            </c:numRef>
          </c:cat>
          <c:val>
            <c:numRef>
              <c:f>Vekst!$V$13:$Z$13</c:f>
              <c:numCache>
                <c:formatCode>General</c:formatCode>
                <c:ptCount val="5"/>
                <c:pt idx="0">
                  <c:v>0.32</c:v>
                </c:pt>
                <c:pt idx="1">
                  <c:v>0.19</c:v>
                </c:pt>
                <c:pt idx="2">
                  <c:v>0.28000000000000003</c:v>
                </c:pt>
                <c:pt idx="3">
                  <c:v>0.37</c:v>
                </c:pt>
                <c:pt idx="4">
                  <c:v>0.28000000000000003</c:v>
                </c:pt>
              </c:numCache>
            </c:numRef>
          </c:val>
          <c:extLst>
            <c:ext xmlns:c16="http://schemas.microsoft.com/office/drawing/2014/chart" uri="{C3380CC4-5D6E-409C-BE32-E72D297353CC}">
              <c16:uniqueId val="{00000002-8C70-6244-A3C0-35A307BDC21A}"/>
            </c:ext>
          </c:extLst>
        </c:ser>
        <c:dLbls>
          <c:showLegendKey val="0"/>
          <c:showVal val="0"/>
          <c:showCatName val="0"/>
          <c:showSerName val="0"/>
          <c:showPercent val="0"/>
          <c:showBubbleSize val="0"/>
        </c:dLbls>
        <c:gapWidth val="219"/>
        <c:overlap val="-27"/>
        <c:axId val="1698345151"/>
        <c:axId val="1686794607"/>
      </c:barChart>
      <c:barChart>
        <c:barDir val="col"/>
        <c:grouping val="clustered"/>
        <c:varyColors val="0"/>
        <c:ser>
          <c:idx val="0"/>
          <c:order val="0"/>
          <c:tx>
            <c:strRef>
              <c:f>Vekst!$U$11</c:f>
              <c:strCache>
                <c:ptCount val="1"/>
                <c:pt idx="0">
                  <c:v>Liquidity cycle</c:v>
                </c:pt>
              </c:strCache>
            </c:strRef>
          </c:tx>
          <c:spPr>
            <a:solidFill>
              <a:schemeClr val="accent1">
                <a:lumMod val="60000"/>
                <a:lumOff val="40000"/>
              </a:schemeClr>
            </a:solidFill>
            <a:ln>
              <a:noFill/>
            </a:ln>
            <a:effectLst/>
          </c:spPr>
          <c:invertIfNegative val="0"/>
          <c:cat>
            <c:numRef>
              <c:f>Vekst!$V$10:$Z$10</c:f>
              <c:numCache>
                <c:formatCode>General</c:formatCode>
                <c:ptCount val="5"/>
                <c:pt idx="0">
                  <c:v>2016</c:v>
                </c:pt>
                <c:pt idx="1">
                  <c:v>2017</c:v>
                </c:pt>
                <c:pt idx="2">
                  <c:v>2018</c:v>
                </c:pt>
                <c:pt idx="3">
                  <c:v>2019</c:v>
                </c:pt>
                <c:pt idx="4">
                  <c:v>2020</c:v>
                </c:pt>
              </c:numCache>
            </c:numRef>
          </c:cat>
          <c:val>
            <c:numRef>
              <c:f>Vekst!$V$11:$Z$11</c:f>
              <c:numCache>
                <c:formatCode>General</c:formatCode>
                <c:ptCount val="5"/>
                <c:pt idx="0">
                  <c:v>234</c:v>
                </c:pt>
                <c:pt idx="1">
                  <c:v>239</c:v>
                </c:pt>
                <c:pt idx="2">
                  <c:v>203</c:v>
                </c:pt>
                <c:pt idx="3">
                  <c:v>129</c:v>
                </c:pt>
                <c:pt idx="4">
                  <c:v>244</c:v>
                </c:pt>
              </c:numCache>
            </c:numRef>
          </c:val>
          <c:extLst>
            <c:ext xmlns:c16="http://schemas.microsoft.com/office/drawing/2014/chart" uri="{C3380CC4-5D6E-409C-BE32-E72D297353CC}">
              <c16:uniqueId val="{00000000-8C70-6244-A3C0-35A307BDC21A}"/>
            </c:ext>
          </c:extLst>
        </c:ser>
        <c:dLbls>
          <c:showLegendKey val="0"/>
          <c:showVal val="0"/>
          <c:showCatName val="0"/>
          <c:showSerName val="0"/>
          <c:showPercent val="0"/>
          <c:showBubbleSize val="0"/>
        </c:dLbls>
        <c:gapWidth val="219"/>
        <c:overlap val="-27"/>
        <c:axId val="1781348575"/>
        <c:axId val="1698981199"/>
      </c:barChart>
      <c:catAx>
        <c:axId val="1698345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NO"/>
          </a:p>
        </c:txPr>
        <c:crossAx val="1686794607"/>
        <c:crosses val="autoZero"/>
        <c:auto val="1"/>
        <c:lblAlgn val="ctr"/>
        <c:lblOffset val="100"/>
        <c:noMultiLvlLbl val="0"/>
      </c:catAx>
      <c:valAx>
        <c:axId val="1686794607"/>
        <c:scaling>
          <c:orientation val="minMax"/>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a:t>Ratio</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N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NO"/>
          </a:p>
        </c:txPr>
        <c:crossAx val="1698345151"/>
        <c:crosses val="autoZero"/>
        <c:crossBetween val="between"/>
      </c:valAx>
      <c:valAx>
        <c:axId val="1698981199"/>
        <c:scaling>
          <c:orientation val="minMax"/>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a:t>Antall dager</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N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NO"/>
          </a:p>
        </c:txPr>
        <c:crossAx val="1781348575"/>
        <c:crosses val="max"/>
        <c:crossBetween val="between"/>
      </c:valAx>
      <c:catAx>
        <c:axId val="1781348575"/>
        <c:scaling>
          <c:orientation val="minMax"/>
        </c:scaling>
        <c:delete val="1"/>
        <c:axPos val="b"/>
        <c:numFmt formatCode="General" sourceLinked="1"/>
        <c:majorTickMark val="out"/>
        <c:minorTickMark val="none"/>
        <c:tickLblPos val="nextTo"/>
        <c:crossAx val="1698981199"/>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NO"/>
        </a:p>
      </c:txPr>
    </c:legend>
    <c:plotVisOnly val="1"/>
    <c:dispBlanksAs val="gap"/>
    <c:showDLblsOverMax val="0"/>
  </c:chart>
  <c:spPr>
    <a:solidFill>
      <a:schemeClr val="bg1"/>
    </a:solidFill>
    <a:ln w="9525" cap="flat" cmpd="sng" algn="ctr">
      <a:noFill/>
      <a:round/>
    </a:ln>
    <a:effectLst/>
  </c:spPr>
  <c:txPr>
    <a:bodyPr/>
    <a:lstStyle/>
    <a:p>
      <a:pPr>
        <a:defRPr b="1"/>
      </a:pPr>
      <a:endParaRPr lang="en-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07758744903926"/>
          <c:y val="0.14351851851851852"/>
          <c:w val="0.79086105625386705"/>
          <c:h val="0.64323964712744242"/>
        </c:manualLayout>
      </c:layout>
      <c:barChart>
        <c:barDir val="col"/>
        <c:grouping val="clustered"/>
        <c:varyColors val="0"/>
        <c:ser>
          <c:idx val="1"/>
          <c:order val="1"/>
          <c:tx>
            <c:strRef>
              <c:f>Vekst!$U$12</c:f>
              <c:strCache>
                <c:ptCount val="1"/>
                <c:pt idx="0">
                  <c:v>Current ratio</c:v>
                </c:pt>
              </c:strCache>
            </c:strRef>
          </c:tx>
          <c:spPr>
            <a:solidFill>
              <a:schemeClr val="accent6">
                <a:lumMod val="60000"/>
                <a:lumOff val="40000"/>
              </a:schemeClr>
            </a:solidFill>
            <a:ln>
              <a:noFill/>
            </a:ln>
            <a:effectLst/>
          </c:spPr>
          <c:invertIfNegative val="0"/>
          <c:cat>
            <c:numRef>
              <c:f>Vekst!$AE$10:$AI$10</c:f>
              <c:numCache>
                <c:formatCode>General</c:formatCode>
                <c:ptCount val="5"/>
                <c:pt idx="0">
                  <c:v>2016</c:v>
                </c:pt>
                <c:pt idx="1">
                  <c:v>2017</c:v>
                </c:pt>
                <c:pt idx="2">
                  <c:v>2018</c:v>
                </c:pt>
                <c:pt idx="3">
                  <c:v>2019</c:v>
                </c:pt>
                <c:pt idx="4">
                  <c:v>2020</c:v>
                </c:pt>
              </c:numCache>
            </c:numRef>
          </c:cat>
          <c:val>
            <c:numRef>
              <c:f>Vekst!$AE$12:$AI$12</c:f>
              <c:numCache>
                <c:formatCode>General</c:formatCode>
                <c:ptCount val="5"/>
                <c:pt idx="0">
                  <c:v>1.39</c:v>
                </c:pt>
                <c:pt idx="1">
                  <c:v>1.32</c:v>
                </c:pt>
                <c:pt idx="2">
                  <c:v>1.29</c:v>
                </c:pt>
                <c:pt idx="3">
                  <c:v>1.31</c:v>
                </c:pt>
                <c:pt idx="4">
                  <c:v>1.28</c:v>
                </c:pt>
              </c:numCache>
            </c:numRef>
          </c:val>
          <c:extLst>
            <c:ext xmlns:c16="http://schemas.microsoft.com/office/drawing/2014/chart" uri="{C3380CC4-5D6E-409C-BE32-E72D297353CC}">
              <c16:uniqueId val="{00000000-D223-2B43-B5D2-471A51701E6C}"/>
            </c:ext>
          </c:extLst>
        </c:ser>
        <c:ser>
          <c:idx val="2"/>
          <c:order val="2"/>
          <c:tx>
            <c:strRef>
              <c:f>Vekst!$U$13</c:f>
              <c:strCache>
                <c:ptCount val="1"/>
                <c:pt idx="0">
                  <c:v>Quick ratio</c:v>
                </c:pt>
              </c:strCache>
            </c:strRef>
          </c:tx>
          <c:spPr>
            <a:solidFill>
              <a:schemeClr val="accent2">
                <a:lumMod val="60000"/>
                <a:lumOff val="40000"/>
              </a:schemeClr>
            </a:solidFill>
            <a:ln>
              <a:noFill/>
            </a:ln>
            <a:effectLst/>
          </c:spPr>
          <c:invertIfNegative val="0"/>
          <c:cat>
            <c:numRef>
              <c:f>Vekst!$AE$10:$AI$10</c:f>
              <c:numCache>
                <c:formatCode>General</c:formatCode>
                <c:ptCount val="5"/>
                <c:pt idx="0">
                  <c:v>2016</c:v>
                </c:pt>
                <c:pt idx="1">
                  <c:v>2017</c:v>
                </c:pt>
                <c:pt idx="2">
                  <c:v>2018</c:v>
                </c:pt>
                <c:pt idx="3">
                  <c:v>2019</c:v>
                </c:pt>
                <c:pt idx="4">
                  <c:v>2020</c:v>
                </c:pt>
              </c:numCache>
            </c:numRef>
          </c:cat>
          <c:val>
            <c:numRef>
              <c:f>Vekst!$AE$13:$AI$13</c:f>
              <c:numCache>
                <c:formatCode>General</c:formatCode>
                <c:ptCount val="5"/>
                <c:pt idx="0">
                  <c:v>1.41</c:v>
                </c:pt>
                <c:pt idx="1">
                  <c:v>0.34</c:v>
                </c:pt>
                <c:pt idx="2">
                  <c:v>0.47</c:v>
                </c:pt>
                <c:pt idx="3">
                  <c:v>1.6</c:v>
                </c:pt>
                <c:pt idx="4">
                  <c:v>1.52</c:v>
                </c:pt>
              </c:numCache>
            </c:numRef>
          </c:val>
          <c:extLst>
            <c:ext xmlns:c16="http://schemas.microsoft.com/office/drawing/2014/chart" uri="{C3380CC4-5D6E-409C-BE32-E72D297353CC}">
              <c16:uniqueId val="{00000001-D223-2B43-B5D2-471A51701E6C}"/>
            </c:ext>
          </c:extLst>
        </c:ser>
        <c:dLbls>
          <c:showLegendKey val="0"/>
          <c:showVal val="0"/>
          <c:showCatName val="0"/>
          <c:showSerName val="0"/>
          <c:showPercent val="0"/>
          <c:showBubbleSize val="0"/>
        </c:dLbls>
        <c:gapWidth val="219"/>
        <c:overlap val="-27"/>
        <c:axId val="1698345151"/>
        <c:axId val="1686794607"/>
      </c:barChart>
      <c:barChart>
        <c:barDir val="col"/>
        <c:grouping val="clustered"/>
        <c:varyColors val="0"/>
        <c:ser>
          <c:idx val="0"/>
          <c:order val="0"/>
          <c:tx>
            <c:strRef>
              <c:f>Vekst!$U$11</c:f>
              <c:strCache>
                <c:ptCount val="1"/>
                <c:pt idx="0">
                  <c:v>Liquidity cycle</c:v>
                </c:pt>
              </c:strCache>
            </c:strRef>
          </c:tx>
          <c:spPr>
            <a:solidFill>
              <a:schemeClr val="accent1">
                <a:lumMod val="60000"/>
                <a:lumOff val="40000"/>
              </a:schemeClr>
            </a:solidFill>
            <a:ln>
              <a:noFill/>
            </a:ln>
            <a:effectLst/>
          </c:spPr>
          <c:invertIfNegative val="0"/>
          <c:cat>
            <c:numRef>
              <c:f>Vekst!$AE$10:$AI$10</c:f>
              <c:numCache>
                <c:formatCode>General</c:formatCode>
                <c:ptCount val="5"/>
                <c:pt idx="0">
                  <c:v>2016</c:v>
                </c:pt>
                <c:pt idx="1">
                  <c:v>2017</c:v>
                </c:pt>
                <c:pt idx="2">
                  <c:v>2018</c:v>
                </c:pt>
                <c:pt idx="3">
                  <c:v>2019</c:v>
                </c:pt>
                <c:pt idx="4">
                  <c:v>2020</c:v>
                </c:pt>
              </c:numCache>
            </c:numRef>
          </c:cat>
          <c:val>
            <c:numRef>
              <c:f>Vekst!$AE$11:$AI$11</c:f>
              <c:numCache>
                <c:formatCode>General</c:formatCode>
                <c:ptCount val="5"/>
                <c:pt idx="0">
                  <c:v>397</c:v>
                </c:pt>
                <c:pt idx="1">
                  <c:v>506</c:v>
                </c:pt>
                <c:pt idx="2" formatCode="#,##0">
                  <c:v>1121</c:v>
                </c:pt>
                <c:pt idx="3">
                  <c:v>824</c:v>
                </c:pt>
                <c:pt idx="4" formatCode="#,##0">
                  <c:v>1259</c:v>
                </c:pt>
              </c:numCache>
            </c:numRef>
          </c:val>
          <c:extLst>
            <c:ext xmlns:c16="http://schemas.microsoft.com/office/drawing/2014/chart" uri="{C3380CC4-5D6E-409C-BE32-E72D297353CC}">
              <c16:uniqueId val="{00000002-D223-2B43-B5D2-471A51701E6C}"/>
            </c:ext>
          </c:extLst>
        </c:ser>
        <c:dLbls>
          <c:showLegendKey val="0"/>
          <c:showVal val="0"/>
          <c:showCatName val="0"/>
          <c:showSerName val="0"/>
          <c:showPercent val="0"/>
          <c:showBubbleSize val="0"/>
        </c:dLbls>
        <c:gapWidth val="219"/>
        <c:overlap val="-27"/>
        <c:axId val="1781348575"/>
        <c:axId val="1698981199"/>
      </c:barChart>
      <c:catAx>
        <c:axId val="1698345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O"/>
          </a:p>
        </c:txPr>
        <c:crossAx val="1686794607"/>
        <c:crosses val="autoZero"/>
        <c:auto val="1"/>
        <c:lblAlgn val="ctr"/>
        <c:lblOffset val="100"/>
        <c:noMultiLvlLbl val="0"/>
      </c:catAx>
      <c:valAx>
        <c:axId val="1686794607"/>
        <c:scaling>
          <c:orientation val="minMax"/>
          <c:max val="2.5"/>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Ratio</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N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NO"/>
          </a:p>
        </c:txPr>
        <c:crossAx val="1698345151"/>
        <c:crosses val="autoZero"/>
        <c:crossBetween val="between"/>
      </c:valAx>
      <c:valAx>
        <c:axId val="1698981199"/>
        <c:scaling>
          <c:orientation val="minMax"/>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Antall dager</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NO"/>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NO"/>
          </a:p>
        </c:txPr>
        <c:crossAx val="1781348575"/>
        <c:crosses val="max"/>
        <c:crossBetween val="between"/>
      </c:valAx>
      <c:catAx>
        <c:axId val="1781348575"/>
        <c:scaling>
          <c:orientation val="minMax"/>
        </c:scaling>
        <c:delete val="1"/>
        <c:axPos val="b"/>
        <c:numFmt formatCode="General" sourceLinked="1"/>
        <c:majorTickMark val="out"/>
        <c:minorTickMark val="none"/>
        <c:tickLblPos val="nextTo"/>
        <c:crossAx val="1698981199"/>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NO"/>
        </a:p>
      </c:txPr>
    </c:legend>
    <c:plotVisOnly val="1"/>
    <c:dispBlanksAs val="gap"/>
    <c:showDLblsOverMax val="0"/>
  </c:chart>
  <c:spPr>
    <a:solidFill>
      <a:schemeClr val="bg1"/>
    </a:solidFill>
    <a:ln w="9525" cap="flat" cmpd="sng" algn="ctr">
      <a:noFill/>
      <a:round/>
    </a:ln>
    <a:effectLst/>
  </c:spPr>
  <c:txPr>
    <a:bodyPr/>
    <a:lstStyle/>
    <a:p>
      <a:pPr>
        <a:defRPr/>
      </a:pPr>
      <a:endParaRPr lang="en-N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title pos="t" align="ctr" overlay="0">
      <cx:tx>
        <cx:txData>
          <cx:v>Markedsverdi vs. Egenverdi Selvaag</cx:v>
        </cx:txData>
      </cx:tx>
      <cx:txPr>
        <a:bodyPr spcFirstLastPara="1" vertOverflow="ellipsis" horzOverflow="overflow" wrap="square" lIns="0" tIns="0" rIns="0" bIns="0" anchor="ctr" anchorCtr="1"/>
        <a:lstStyle/>
        <a:p>
          <a:pPr algn="ctr" rtl="0">
            <a:defRPr b="1"/>
          </a:pPr>
          <a:r>
            <a:rPr lang="en-US" sz="1400" b="1" i="0" u="none" strike="noStrike" baseline="0">
              <a:solidFill>
                <a:sysClr val="windowText" lastClr="000000">
                  <a:lumMod val="65000"/>
                  <a:lumOff val="35000"/>
                </a:sysClr>
              </a:solidFill>
              <a:latin typeface="Calibri" panose="020F0502020204030204"/>
            </a:rPr>
            <a:t>Markedsverdi vs. Egenverdi Selvaag</a:t>
          </a:r>
        </a:p>
      </cx:txPr>
    </cx:title>
    <cx:plotArea>
      <cx:plotAreaRegion>
        <cx:plotSurface>
          <cx:spPr>
            <a:ln>
              <a:noFill/>
            </a:ln>
          </cx:spPr>
        </cx:plotSurface>
        <cx:series layoutId="waterfall" uniqueId="{0437DB37-173D-134C-B972-5E449E547DCA}">
          <cx:dataPt idx="0">
            <cx:spPr>
              <a:solidFill>
                <a:srgbClr val="5B9BD5">
                  <a:lumMod val="60000"/>
                  <a:lumOff val="40000"/>
                </a:srgbClr>
              </a:solidFill>
            </cx:spPr>
          </cx:dataPt>
          <cx:dataPt idx="1">
            <cx:spPr>
              <a:solidFill>
                <a:srgbClr val="70AD47">
                  <a:lumMod val="40000"/>
                  <a:lumOff val="60000"/>
                </a:srgbClr>
              </a:solidFill>
            </cx:spPr>
          </cx:dataPt>
          <cx:dataPt idx="2">
            <cx:spPr>
              <a:solidFill>
                <a:srgbClr val="ED7D31">
                  <a:lumMod val="60000"/>
                  <a:lumOff val="40000"/>
                </a:srgbClr>
              </a:solidFill>
            </cx:spPr>
          </cx:dataPt>
          <cx:dataLabels pos="outEnd">
            <cx:txPr>
              <a:bodyPr spcFirstLastPara="1" vertOverflow="ellipsis" horzOverflow="overflow" wrap="square" lIns="0" tIns="0" rIns="0" bIns="0" anchor="ctr" anchorCtr="1"/>
              <a:lstStyle/>
              <a:p>
                <a:pPr algn="ctr" rtl="0">
                  <a:defRPr b="1"/>
                </a:pPr>
                <a:endParaRPr lang="en-US" sz="900" b="1" i="0" u="none" strike="noStrike" baseline="0">
                  <a:solidFill>
                    <a:sysClr val="windowText" lastClr="000000">
                      <a:lumMod val="65000"/>
                      <a:lumOff val="35000"/>
                    </a:sysClr>
                  </a:solidFill>
                  <a:latin typeface="Calibri" panose="020F0502020204030204"/>
                </a:endParaRPr>
              </a:p>
            </cx:txPr>
            <cx:visibility seriesName="0" categoryName="0" value="1"/>
          </cx:dataLabels>
          <cx:dataId val="0"/>
          <cx:layoutPr>
            <cx:visibility connectorLines="1"/>
            <cx:subtotals>
              <cx:idx val="2"/>
            </cx:subtotals>
          </cx:layoutPr>
        </cx:series>
      </cx:plotAreaRegion>
      <cx:axis id="0">
        <cx:catScaling gapWidth="0.5"/>
        <cx:tickLabels/>
        <cx:txPr>
          <a:bodyPr spcFirstLastPara="1" vertOverflow="ellipsis" horzOverflow="overflow" wrap="square" lIns="0" tIns="0" rIns="0" bIns="0" anchor="ctr" anchorCtr="1"/>
          <a:lstStyle/>
          <a:p>
            <a:pPr algn="ctr" rtl="0">
              <a:defRPr b="1"/>
            </a:pPr>
            <a:endParaRPr lang="en-US" sz="900" b="1" i="0" u="none" strike="noStrike" baseline="0">
              <a:solidFill>
                <a:sysClr val="windowText" lastClr="000000">
                  <a:lumMod val="65000"/>
                  <a:lumOff val="35000"/>
                </a:sysClr>
              </a:solidFill>
              <a:latin typeface="Calibri" panose="020F0502020204030204"/>
            </a:endParaRPr>
          </a:p>
        </cx:txPr>
      </cx:axis>
      <cx:axis id="1">
        <cx:valScaling max="100" min="0"/>
        <cx:tickLabels/>
        <cx:txPr>
          <a:bodyPr spcFirstLastPara="1" vertOverflow="ellipsis" horzOverflow="overflow" wrap="square" lIns="0" tIns="0" rIns="0" bIns="0" anchor="ctr" anchorCtr="1"/>
          <a:lstStyle/>
          <a:p>
            <a:pPr algn="ctr" rtl="0">
              <a:defRPr b="1"/>
            </a:pPr>
            <a:endParaRPr lang="en-US" sz="900" b="1" i="0" u="none" strike="noStrike" baseline="0">
              <a:solidFill>
                <a:sysClr val="windowText" lastClr="000000">
                  <a:lumMod val="65000"/>
                  <a:lumOff val="35000"/>
                </a:sysClr>
              </a:solidFill>
              <a:latin typeface="Calibri" panose="020F0502020204030204"/>
            </a:endParaRPr>
          </a:p>
        </cx:txPr>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microsoft.com/office/2014/relationships/chartEx" Target="../charts/chartEx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445406</xdr:colOff>
      <xdr:row>33</xdr:row>
      <xdr:rowOff>155726</xdr:rowOff>
    </xdr:from>
    <xdr:to>
      <xdr:col>10</xdr:col>
      <xdr:colOff>471108</xdr:colOff>
      <xdr:row>53</xdr:row>
      <xdr:rowOff>16329</xdr:rowOff>
    </xdr:to>
    <xdr:graphicFrame macro="">
      <xdr:nvGraphicFramePr>
        <xdr:cNvPr id="2" name="Chart 1">
          <a:extLst>
            <a:ext uri="{FF2B5EF4-FFF2-40B4-BE49-F238E27FC236}">
              <a16:creationId xmlns:a16="http://schemas.microsoft.com/office/drawing/2014/main" id="{4BD8937D-18B2-854E-8AAB-7AC71B1B77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25400</xdr:colOff>
      <xdr:row>12</xdr:row>
      <xdr:rowOff>38100</xdr:rowOff>
    </xdr:from>
    <xdr:to>
      <xdr:col>18</xdr:col>
      <xdr:colOff>647700</xdr:colOff>
      <xdr:row>26</xdr:row>
      <xdr:rowOff>31750</xdr:rowOff>
    </xdr:to>
    <mc:AlternateContent xmlns:mc="http://schemas.openxmlformats.org/markup-compatibility/2006">
      <mc:Choice xmlns:cx1="http://schemas.microsoft.com/office/drawing/2015/9/8/chartex" Requires="cx1">
        <xdr:graphicFrame macro="">
          <xdr:nvGraphicFramePr>
            <xdr:cNvPr id="6" name="Chart 5">
              <a:extLst>
                <a:ext uri="{FF2B5EF4-FFF2-40B4-BE49-F238E27FC236}">
                  <a16:creationId xmlns:a16="http://schemas.microsoft.com/office/drawing/2014/main" id="{9F8788E6-D42E-7749-B87B-78813C82B81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2141200" y="2476500"/>
              <a:ext cx="6400800" cy="283845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47611</xdr:colOff>
      <xdr:row>54</xdr:row>
      <xdr:rowOff>150866</xdr:rowOff>
    </xdr:from>
    <xdr:to>
      <xdr:col>16</xdr:col>
      <xdr:colOff>845854</xdr:colOff>
      <xdr:row>74</xdr:row>
      <xdr:rowOff>109964</xdr:rowOff>
    </xdr:to>
    <xdr:graphicFrame macro="">
      <xdr:nvGraphicFramePr>
        <xdr:cNvPr id="4" name="Chart 3">
          <a:extLst>
            <a:ext uri="{FF2B5EF4-FFF2-40B4-BE49-F238E27FC236}">
              <a16:creationId xmlns:a16="http://schemas.microsoft.com/office/drawing/2014/main" id="{0646247E-7E36-A048-AEEE-15E1CADC0C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27861</xdr:colOff>
      <xdr:row>28</xdr:row>
      <xdr:rowOff>77725</xdr:rowOff>
    </xdr:from>
    <xdr:to>
      <xdr:col>14</xdr:col>
      <xdr:colOff>206310</xdr:colOff>
      <xdr:row>44</xdr:row>
      <xdr:rowOff>170353</xdr:rowOff>
    </xdr:to>
    <xdr:graphicFrame macro="">
      <xdr:nvGraphicFramePr>
        <xdr:cNvPr id="5" name="Chart 4">
          <a:extLst>
            <a:ext uri="{FF2B5EF4-FFF2-40B4-BE49-F238E27FC236}">
              <a16:creationId xmlns:a16="http://schemas.microsoft.com/office/drawing/2014/main" id="{11420471-5F0B-FF4C-A911-127E5EEA23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575468</xdr:colOff>
      <xdr:row>6</xdr:row>
      <xdr:rowOff>122409</xdr:rowOff>
    </xdr:from>
    <xdr:to>
      <xdr:col>26</xdr:col>
      <xdr:colOff>563562</xdr:colOff>
      <xdr:row>17</xdr:row>
      <xdr:rowOff>188912</xdr:rowOff>
    </xdr:to>
    <xdr:graphicFrame macro="">
      <xdr:nvGraphicFramePr>
        <xdr:cNvPr id="2" name="Chart 1">
          <a:extLst>
            <a:ext uri="{FF2B5EF4-FFF2-40B4-BE49-F238E27FC236}">
              <a16:creationId xmlns:a16="http://schemas.microsoft.com/office/drawing/2014/main" id="{2AABB83A-2EAD-2E41-9BC0-17E5193BEB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0</xdr:colOff>
      <xdr:row>22</xdr:row>
      <xdr:rowOff>0</xdr:rowOff>
    </xdr:from>
    <xdr:to>
      <xdr:col>28</xdr:col>
      <xdr:colOff>444500</xdr:colOff>
      <xdr:row>32</xdr:row>
      <xdr:rowOff>125412</xdr:rowOff>
    </xdr:to>
    <xdr:graphicFrame macro="">
      <xdr:nvGraphicFramePr>
        <xdr:cNvPr id="6" name="Chart 5">
          <a:extLst>
            <a:ext uri="{FF2B5EF4-FFF2-40B4-BE49-F238E27FC236}">
              <a16:creationId xmlns:a16="http://schemas.microsoft.com/office/drawing/2014/main" id="{554F54ED-AA58-B442-8DF5-A6A08F0556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19</xdr:col>
      <xdr:colOff>603250</xdr:colOff>
      <xdr:row>15</xdr:row>
      <xdr:rowOff>82550</xdr:rowOff>
    </xdr:from>
    <xdr:to>
      <xdr:col>27</xdr:col>
      <xdr:colOff>622300</xdr:colOff>
      <xdr:row>29</xdr:row>
      <xdr:rowOff>127000</xdr:rowOff>
    </xdr:to>
    <xdr:graphicFrame macro="">
      <xdr:nvGraphicFramePr>
        <xdr:cNvPr id="4" name="Chart 3">
          <a:extLst>
            <a:ext uri="{FF2B5EF4-FFF2-40B4-BE49-F238E27FC236}">
              <a16:creationId xmlns:a16="http://schemas.microsoft.com/office/drawing/2014/main" id="{C9E4189D-A929-CC4E-9B7F-F7432EAE6E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682869</xdr:colOff>
      <xdr:row>15</xdr:row>
      <xdr:rowOff>97692</xdr:rowOff>
    </xdr:from>
    <xdr:to>
      <xdr:col>36</xdr:col>
      <xdr:colOff>752229</xdr:colOff>
      <xdr:row>29</xdr:row>
      <xdr:rowOff>107461</xdr:rowOff>
    </xdr:to>
    <xdr:graphicFrame macro="">
      <xdr:nvGraphicFramePr>
        <xdr:cNvPr id="5" name="Chart 4">
          <a:extLst>
            <a:ext uri="{FF2B5EF4-FFF2-40B4-BE49-F238E27FC236}">
              <a16:creationId xmlns:a16="http://schemas.microsoft.com/office/drawing/2014/main" id="{1801D232-364F-D44C-93D6-5ED70336EC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Student) Teien, Andreas" id="{0AEE3C4A-C899-4440-81FE-28D4119F5EA5}" userId="S::s2019108@bi.no::69fd4dc4-1e78-4a62-95ae-a564325980f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48" dT="2022-04-26T11:00:54.48" personId="{0AEE3C4A-C899-4440-81FE-28D4119F5EA5}" id="{4F42A439-A900-9645-969C-EF52AEFB93A5}">
    <text>effective tax rate = 7,9%</text>
  </threadedComment>
  <threadedComment ref="J48" dT="2022-04-26T11:01:14.11" personId="{0AEE3C4A-C899-4440-81FE-28D4119F5EA5}" id="{85BEA98B-4FD8-3845-AF9A-72CC339328AF}">
    <text>Effective tax rate = 23,4%</text>
  </threadedComment>
</ThreadedComments>
</file>

<file path=xl/threadedComments/threadedComment2.xml><?xml version="1.0" encoding="utf-8"?>
<ThreadedComments xmlns="http://schemas.microsoft.com/office/spreadsheetml/2018/threadedcomments" xmlns:x="http://schemas.openxmlformats.org/spreadsheetml/2006/main">
  <threadedComment ref="J5" dT="2022-05-01T13:32:00.17" personId="{0AEE3C4A-C899-4440-81FE-28D4119F5EA5}" id="{C62458F5-AC14-A543-8504-B6CF7779D6E9}">
    <text>Grunnen til at wacc er så høy i 2019 er fordi selvaag betalte ned gjeld som gjør at gjeldskostnaden blir mye høyere ettersom at rentekostnaden blir delt på et mye mindre beløp (rentekost/NIBD)</text>
  </threadedComment>
  <threadedComment ref="C8" dT="2022-04-29T12:07:42.15" personId="{0AEE3C4A-C899-4440-81FE-28D4119F5EA5}" id="{C00A547F-3563-914A-8D2F-B0E984299C98}">
    <text>for 2016 har jeg brukt NOPAT/NOA i samme år istedenfor gjennomsnittet bare for å vise den visuelle sammenhengen</text>
  </threadedComment>
  <threadedComment ref="B40" dT="2022-04-30T11:39:05.68" personId="{0AEE3C4A-C899-4440-81FE-28D4119F5EA5}" id="{19328EE9-1B1F-C143-B3E5-A0FF2738DE7A}">
    <text>rentekostnad/NIBD</text>
  </threadedComment>
  <threadedComment ref="B46" dT="2022-04-30T12:49:05.52" personId="{0AEE3C4A-C899-4440-81FE-28D4119F5EA5}" id="{5177DD13-9552-8540-A383-2A86ACD33C9F}">
    <text>EVA forteller oss hvor stor avkastning aksjonærene får utover avkastningskravet (investorenes forventede avkastning). Som vi ser har Selvaag ødelagt verdier for aksjonærer i 2019 og 2020</text>
  </threadedComment>
  <threadedComment ref="B77" dT="2022-05-04T14:31:41.08" personId="{0AEE3C4A-C899-4440-81FE-28D4119F5EA5}" id="{3197451A-F01C-5345-BB93-13C18D141BD5}">
    <text>Finansiell leverage = NIBD / BVE
Ser at rundt 50% av egenkapitalen er finansiert med gjeld</text>
  </threadedComment>
  <threadedComment ref="B84" dT="2022-05-04T14:36:44.65" personId="{0AEE3C4A-C899-4440-81FE-28D4119F5EA5}" id="{43295D16-1856-574A-9B43-AF3C575C8FBD}">
    <text>NBC after ta = (finansielle kostnader - finansielle inntekter - skatteskjold) / NIBD</text>
  </threadedComment>
  <threadedComment ref="B90" dT="2022-05-04T15:13:41.32" personId="{0AEE3C4A-C899-4440-81FE-28D4119F5EA5}" id="{2EE3683A-24C0-3F4E-AED8-FB6668AFDC4F}">
    <text>RI = (ROE - re) * BVE
Ved å ta faktisk avkastning på investert kapital minus aksjonærenes avkastningskrav og ganger det med gjennomsnittlig bokverdi av egenkapitalen finner vi den ekstra verdiskapningen til aksjonærene</text>
  </threadedComment>
  <threadedComment ref="B96" dT="2022-05-25T16:47:31.09" personId="{0AEE3C4A-C899-4440-81FE-28D4119F5EA5}" id="{7162F621-F7B9-A24C-8B85-8C9B38C840C7}">
    <text>Som vi ser er rentemarginen positiv fra 2016-2019 som vil si at en økning i leverage vil gi en økning i ROIC. I 2020 derimot er det en ganske kraftig nedgang i rentemarginen som tilsier at en økning i leverange vil gi en reduksjon i ROIC.</text>
  </threadedComment>
</ThreadedComments>
</file>

<file path=xl/threadedComments/threadedComment3.xml><?xml version="1.0" encoding="utf-8"?>
<ThreadedComments xmlns="http://schemas.microsoft.com/office/spreadsheetml/2018/threadedcomments" xmlns:x="http://schemas.openxmlformats.org/spreadsheetml/2006/main">
  <threadedComment ref="B6" dT="2022-05-04T11:57:06.78" personId="{0AEE3C4A-C899-4440-81FE-28D4119F5EA5}" id="{4F7E24AA-8E59-AC4A-914F-D099CCBA74DB}">
    <text>EPS = (Profit-Dividends) / number of shares outstanding
Forteller oss om selskapets lønnsomhet og  hvor mye du som investor får av resultatet. Viser profitten som prosent av antall utestående aksjer.</text>
  </threadedComment>
  <threadedComment ref="B11" dT="2022-05-04T12:25:04.11" personId="{0AEE3C4A-C899-4440-81FE-28D4119F5EA5}" id="{457B3426-5124-2542-B59F-CCCA1C21DE11}">
    <text>Dividend payout ratio = Dividend per share / EPS</text>
  </threadedComment>
  <threadedComment ref="B31" dT="2022-05-04T12:25:37.99" personId="{0AEE3C4A-C899-4440-81FE-28D4119F5EA5}" id="{A965C3E7-1515-EB4B-B445-881D5FA33BD8}">
    <text>P/E = Aksjepris / EPS
tallfester investeringsviljen til investorer for aksjen relativt til selskapets inntekter. For investoren vil det bety at han/hun betaler “P/E” antall kroner per 1 krone i inntjening. P/E er nyttig når man skal sammenligne selskaper innenfor samme sektor</text>
  </threadedComment>
</ThreadedComments>
</file>

<file path=xl/threadedComments/threadedComment4.xml><?xml version="1.0" encoding="utf-8"?>
<ThreadedComments xmlns="http://schemas.microsoft.com/office/spreadsheetml/2018/threadedcomments" xmlns:x="http://schemas.openxmlformats.org/spreadsheetml/2006/main">
  <threadedComment ref="F10" dT="2022-03-31T13:24:11.51" personId="{0AEE3C4A-C899-4440-81FE-28D4119F5EA5}" id="{0F5FA735-A9DA-594F-93BF-2E440F3DEE60}">
    <text>Velger å angi som en operasjonell post ettersom at investering
 felleskontrollerte- og tilknyttede selskaper er datterselskaper av Selvaag og er kritisk for å opprettholde driften</text>
  </threadedComment>
  <threadedComment ref="J13" dT="2022-03-31T13:19:43.80" personId="{0AEE3C4A-C899-4440-81FE-28D4119F5EA5}" id="{E1AB9684-F875-DB47-8931-A6E48DD08130}">
    <text>Velger å angi som finansiell post ettersom at selgerkreditter er en avtale som krever at man betaler løpende renter på lånebeløpet.</text>
  </threadedComment>
</ThreadedComments>
</file>

<file path=xl/threadedComments/threadedComment5.xml><?xml version="1.0" encoding="utf-8"?>
<ThreadedComments xmlns="http://schemas.microsoft.com/office/spreadsheetml/2018/threadedcomments" xmlns:x="http://schemas.openxmlformats.org/spreadsheetml/2006/main">
  <threadedComment ref="B8" dT="2022-03-31T13:24:11.51" personId="{0AEE3C4A-C899-4440-81FE-28D4119F5EA5}" id="{537C9733-97B9-2E45-9A8E-4ACC2214436B}">
    <text>Velger å angi som en operasjonell post ettersom at investering
 felleskontrollerte- og tilknyttede selskaper er datterselskaper av Selvaag og er kritisk for å opprettholde driften</text>
  </threadedComment>
  <threadedComment ref="L8" dT="2022-03-31T13:24:11.51" personId="{0AEE3C4A-C899-4440-81FE-28D4119F5EA5}" id="{31CFA1EF-7D3A-D74C-9A3C-8AB40D6DC803}">
    <text>Velger å angi som en operasjonell post ettersom at investering
 felleskontrollerte- og tilknyttede selskaper er datterselskaper av Selvaag og er kritisk for å opprettholde driften</text>
  </threadedComment>
  <threadedComment ref="V8" dT="2022-03-31T13:24:11.51" personId="{0AEE3C4A-C899-4440-81FE-28D4119F5EA5}" id="{70D1824A-A80F-D24A-92AD-9937199A7A29}">
    <text>Velger å angi som en operasjonell post ettersom at investering
 felleskontrollerte- og tilknyttede selskaper er datterselskaper av Selvaag og er kritisk for å opprettholde driften</text>
  </threadedComment>
  <threadedComment ref="AF8" dT="2022-03-31T13:24:11.51" personId="{0AEE3C4A-C899-4440-81FE-28D4119F5EA5}" id="{096A2A0F-5DBC-8B4A-9E33-421CD5B10C75}">
    <text>Velger å angi som en operasjonell post ettersom at investering
 felleskontrollerte- og tilknyttede selskaper er datterselskaper av Selvaag og er kritisk for å opprettholde driften</text>
  </threadedComment>
  <threadedComment ref="AA11" dT="2022-03-31T13:19:43.80" personId="{0AEE3C4A-C899-4440-81FE-28D4119F5EA5}" id="{9889E543-63BB-2045-9DDE-1D865C69EE3E}">
    <text>Velger å angi som finansiell post ettersom at selgerkreditter er en avtale som krever at man betaler løpende renter på lånebeløpet.</text>
  </threadedComment>
  <threadedComment ref="AK11" dT="2022-03-31T13:19:43.80" personId="{0AEE3C4A-C899-4440-81FE-28D4119F5EA5}" id="{7A7E89A2-68CC-F446-8F36-E4AB3D56CF9A}">
    <text>Velger å angi som finansiell post ettersom at selgerkreditter er en avtale som krever at man betaler løpende renter på lånebeløpet.</text>
  </threadedComment>
  <threadedComment ref="Q17" dT="2022-03-31T13:19:43.80" personId="{0AEE3C4A-C899-4440-81FE-28D4119F5EA5}" id="{0EF344A1-94A0-044D-AD78-4646E41B7131}">
    <text>Velger å angi som finansiell post ettersom at selgerkreditter er en avtale som krever at man betaler løpende renter på lånebeløpet.</text>
  </threadedComment>
  <threadedComment ref="G18" dT="2022-03-31T13:19:43.80" personId="{0AEE3C4A-C899-4440-81FE-28D4119F5EA5}" id="{767090B5-8475-AF4E-9663-1D07ABC07A74}">
    <text>Velger å angi som finansiell post ettersom at selgerkreditter er en avtale som krever at man betaler løpende renter på lånebeløpet.</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 Id="rId4" Type="http://schemas.microsoft.com/office/2017/10/relationships/threadedComment" Target="../threadedComments/threadedComment3.xml"/></Relationships>
</file>

<file path=xl/worksheets/_rels/sheet11.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2.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6F2F9-07BD-6E44-A13B-6A75DFD1B84F}">
  <dimension ref="A1:O55"/>
  <sheetViews>
    <sheetView workbookViewId="0">
      <selection activeCell="G17" sqref="G17:J17"/>
    </sheetView>
  </sheetViews>
  <sheetFormatPr baseColWidth="10" defaultRowHeight="16" x14ac:dyDescent="0.2"/>
  <cols>
    <col min="1" max="1" width="9.83203125" customWidth="1"/>
    <col min="2" max="2" width="64.33203125" style="25" bestFit="1" customWidth="1"/>
    <col min="3" max="3" width="5.83203125" style="25" bestFit="1" customWidth="1"/>
    <col min="4" max="4" width="11.33203125" style="25" bestFit="1" customWidth="1"/>
    <col min="5" max="5" width="10.33203125" style="25" bestFit="1" customWidth="1"/>
    <col min="6" max="6" width="10.83203125" style="25"/>
    <col min="7" max="7" width="56.6640625" style="25" customWidth="1"/>
    <col min="8" max="8" width="5.83203125" style="25" bestFit="1" customWidth="1"/>
    <col min="9" max="9" width="10.33203125" style="25" bestFit="1" customWidth="1"/>
    <col min="10" max="10" width="11" style="25" bestFit="1" customWidth="1"/>
    <col min="12" max="12" width="56.83203125" bestFit="1" customWidth="1"/>
    <col min="13" max="13" width="5.5" bestFit="1" customWidth="1"/>
    <col min="14" max="14" width="11.33203125" bestFit="1" customWidth="1"/>
    <col min="15" max="15" width="10.33203125" bestFit="1" customWidth="1"/>
  </cols>
  <sheetData>
    <row r="1" spans="1:15" x14ac:dyDescent="0.2">
      <c r="B1" s="530"/>
      <c r="C1" s="530"/>
      <c r="D1" s="530"/>
      <c r="E1" s="530"/>
      <c r="G1" s="528" t="s">
        <v>136</v>
      </c>
      <c r="H1" s="528"/>
      <c r="I1" s="528"/>
      <c r="J1" s="528"/>
      <c r="L1" s="528" t="s">
        <v>136</v>
      </c>
      <c r="M1" s="528"/>
      <c r="N1" s="528"/>
      <c r="O1" s="528"/>
    </row>
    <row r="2" spans="1:15" x14ac:dyDescent="0.2">
      <c r="A2" s="529" t="s">
        <v>0</v>
      </c>
      <c r="B2" s="26" t="s">
        <v>1</v>
      </c>
      <c r="C2" s="41" t="s">
        <v>2</v>
      </c>
      <c r="D2" s="26">
        <v>2019</v>
      </c>
      <c r="E2" s="26">
        <v>2020</v>
      </c>
      <c r="G2" s="26" t="s">
        <v>1</v>
      </c>
      <c r="H2" s="41" t="s">
        <v>2</v>
      </c>
      <c r="I2" s="26">
        <v>2019</v>
      </c>
      <c r="J2" s="26">
        <v>2020</v>
      </c>
      <c r="L2" s="26"/>
      <c r="M2" s="41"/>
      <c r="N2" s="26"/>
      <c r="O2" s="26"/>
    </row>
    <row r="3" spans="1:15" x14ac:dyDescent="0.2">
      <c r="A3" s="529"/>
      <c r="B3" s="1" t="s">
        <v>117</v>
      </c>
      <c r="C3" s="42" t="s">
        <v>3</v>
      </c>
      <c r="D3" s="3">
        <v>3282480</v>
      </c>
      <c r="E3" s="3">
        <v>2643756</v>
      </c>
      <c r="G3" s="1" t="s">
        <v>117</v>
      </c>
      <c r="H3" s="42" t="s">
        <v>3</v>
      </c>
      <c r="I3" s="3">
        <v>3282480</v>
      </c>
      <c r="J3" s="3">
        <v>2643756</v>
      </c>
      <c r="L3" s="1"/>
      <c r="M3" s="42"/>
      <c r="N3" s="3"/>
      <c r="O3" s="3"/>
    </row>
    <row r="4" spans="1:15" x14ac:dyDescent="0.2">
      <c r="A4" s="529"/>
      <c r="B4" s="1" t="s">
        <v>118</v>
      </c>
      <c r="C4" s="42" t="s">
        <v>4</v>
      </c>
      <c r="D4" s="3">
        <v>86358</v>
      </c>
      <c r="E4" s="3">
        <v>54194</v>
      </c>
      <c r="G4" s="25" t="s">
        <v>118</v>
      </c>
      <c r="H4" s="32" t="s">
        <v>4</v>
      </c>
      <c r="I4" s="25">
        <v>86358</v>
      </c>
      <c r="J4" s="25">
        <v>54194</v>
      </c>
      <c r="L4" s="25"/>
      <c r="M4" s="32"/>
      <c r="N4" s="25"/>
      <c r="O4" s="25"/>
    </row>
    <row r="5" spans="1:15" x14ac:dyDescent="0.2">
      <c r="A5" s="529"/>
      <c r="B5" s="4" t="s">
        <v>91</v>
      </c>
      <c r="C5" s="43"/>
      <c r="D5" s="6">
        <v>3368838</v>
      </c>
      <c r="E5" s="6">
        <v>2697950</v>
      </c>
      <c r="G5" s="25" t="s">
        <v>119</v>
      </c>
      <c r="H5" s="42" t="s">
        <v>6</v>
      </c>
      <c r="I5" s="3">
        <v>-2279485</v>
      </c>
      <c r="J5" s="3">
        <v>-1967586</v>
      </c>
      <c r="L5" s="25"/>
      <c r="M5" s="42"/>
      <c r="N5" s="3"/>
      <c r="O5" s="3"/>
    </row>
    <row r="6" spans="1:15" x14ac:dyDescent="0.2">
      <c r="A6" s="529"/>
      <c r="B6" s="7"/>
      <c r="C6" s="42"/>
      <c r="D6" s="8"/>
      <c r="E6" s="8"/>
      <c r="G6" s="16" t="s">
        <v>131</v>
      </c>
      <c r="H6" s="32"/>
      <c r="I6" s="15">
        <f>SUM(I3:I5)</f>
        <v>1089353</v>
      </c>
      <c r="J6" s="15">
        <f>SUM(J3:J5)</f>
        <v>730364</v>
      </c>
      <c r="L6" s="16"/>
      <c r="M6" s="32"/>
      <c r="N6" s="15"/>
      <c r="O6" s="15"/>
    </row>
    <row r="7" spans="1:15" x14ac:dyDescent="0.2">
      <c r="A7" s="529"/>
      <c r="B7" s="1" t="s">
        <v>5</v>
      </c>
      <c r="C7" s="42" t="s">
        <v>6</v>
      </c>
      <c r="D7" s="3">
        <v>-2279485</v>
      </c>
      <c r="E7" s="3">
        <v>-1967586</v>
      </c>
      <c r="G7" s="1" t="s">
        <v>95</v>
      </c>
      <c r="H7" s="42" t="s">
        <v>7</v>
      </c>
      <c r="I7" s="3">
        <v>-132213</v>
      </c>
      <c r="J7" s="3">
        <v>-149849</v>
      </c>
      <c r="L7" s="1"/>
      <c r="M7" s="42"/>
      <c r="N7" s="3"/>
      <c r="O7" s="3"/>
    </row>
    <row r="8" spans="1:15" x14ac:dyDescent="0.2">
      <c r="A8" s="529"/>
      <c r="B8" s="1" t="s">
        <v>95</v>
      </c>
      <c r="C8" s="42" t="s">
        <v>7</v>
      </c>
      <c r="D8" s="3">
        <v>-132213</v>
      </c>
      <c r="E8" s="3">
        <v>-149849</v>
      </c>
      <c r="G8" s="1" t="s">
        <v>10</v>
      </c>
      <c r="H8" s="42" t="s">
        <v>11</v>
      </c>
      <c r="I8" s="3">
        <v>-141909</v>
      </c>
      <c r="J8" s="3">
        <v>-106995</v>
      </c>
      <c r="L8" s="1"/>
      <c r="M8" s="42"/>
      <c r="N8" s="3"/>
      <c r="O8" s="3"/>
    </row>
    <row r="9" spans="1:15" x14ac:dyDescent="0.2">
      <c r="A9" s="529"/>
      <c r="B9" s="1" t="s">
        <v>8</v>
      </c>
      <c r="C9" s="42" t="s">
        <v>9</v>
      </c>
      <c r="D9" s="3">
        <v>-12748</v>
      </c>
      <c r="E9" s="3">
        <v>-9803</v>
      </c>
      <c r="G9" s="1" t="s">
        <v>102</v>
      </c>
      <c r="H9" s="42" t="s">
        <v>13</v>
      </c>
      <c r="I9" s="3">
        <v>62224</v>
      </c>
      <c r="J9" s="3">
        <v>134961</v>
      </c>
      <c r="L9" s="16"/>
      <c r="M9" s="32"/>
      <c r="N9" s="15"/>
      <c r="O9" s="15"/>
    </row>
    <row r="10" spans="1:15" x14ac:dyDescent="0.2">
      <c r="A10" s="529"/>
      <c r="B10" s="1" t="s">
        <v>10</v>
      </c>
      <c r="C10" s="42" t="s">
        <v>11</v>
      </c>
      <c r="D10" s="3">
        <v>-141909</v>
      </c>
      <c r="E10" s="3">
        <v>-106995</v>
      </c>
      <c r="G10" s="1" t="s">
        <v>14</v>
      </c>
      <c r="H10" s="42" t="s">
        <v>15</v>
      </c>
      <c r="I10" s="3" t="s">
        <v>16</v>
      </c>
      <c r="J10" s="3">
        <v>1045127</v>
      </c>
      <c r="L10" s="1"/>
      <c r="M10" s="42"/>
      <c r="N10" s="3"/>
      <c r="O10" s="3"/>
    </row>
    <row r="11" spans="1:15" x14ac:dyDescent="0.2">
      <c r="A11" s="529"/>
      <c r="B11" s="4" t="s">
        <v>12</v>
      </c>
      <c r="C11" s="43"/>
      <c r="D11" s="6">
        <v>-2566355</v>
      </c>
      <c r="E11" s="6">
        <v>-2234233</v>
      </c>
      <c r="G11" s="16" t="s">
        <v>132</v>
      </c>
      <c r="H11" s="32"/>
      <c r="I11" s="15">
        <f>SUM(I6:I10)</f>
        <v>877455</v>
      </c>
      <c r="J11" s="15">
        <f>SUM(J6:J10)</f>
        <v>1653608</v>
      </c>
      <c r="L11" s="7"/>
      <c r="M11" s="32"/>
      <c r="N11" s="15"/>
      <c r="O11" s="15"/>
    </row>
    <row r="12" spans="1:15" x14ac:dyDescent="0.2">
      <c r="A12" s="529"/>
      <c r="B12" s="7"/>
      <c r="C12" s="42"/>
      <c r="D12" s="8"/>
      <c r="E12" s="8"/>
      <c r="G12" s="1" t="s">
        <v>8</v>
      </c>
      <c r="H12" s="42" t="s">
        <v>9</v>
      </c>
      <c r="I12" s="3">
        <v>-12748</v>
      </c>
      <c r="J12" s="3">
        <v>-9803</v>
      </c>
      <c r="L12" s="1"/>
      <c r="M12" s="42"/>
      <c r="N12" s="3"/>
      <c r="O12" s="3"/>
    </row>
    <row r="13" spans="1:15" x14ac:dyDescent="0.2">
      <c r="A13" s="529"/>
      <c r="B13" s="1" t="s">
        <v>102</v>
      </c>
      <c r="C13" s="42" t="s">
        <v>13</v>
      </c>
      <c r="D13" s="3">
        <v>62224</v>
      </c>
      <c r="E13" s="3">
        <v>134961</v>
      </c>
      <c r="G13" s="7" t="s">
        <v>122</v>
      </c>
      <c r="H13" s="32"/>
      <c r="I13" s="15">
        <f>SUM(I11:I12)</f>
        <v>864707</v>
      </c>
      <c r="J13" s="15">
        <f>SUM(J11:J12)</f>
        <v>1643805</v>
      </c>
      <c r="L13" s="25"/>
      <c r="M13" s="32"/>
      <c r="N13" s="24"/>
      <c r="O13" s="24"/>
    </row>
    <row r="14" spans="1:15" x14ac:dyDescent="0.2">
      <c r="A14" s="529"/>
      <c r="B14" s="1" t="s">
        <v>14</v>
      </c>
      <c r="C14" s="42" t="s">
        <v>15</v>
      </c>
      <c r="D14" s="3" t="s">
        <v>16</v>
      </c>
      <c r="E14" s="3">
        <v>1045127</v>
      </c>
      <c r="G14" s="1" t="s">
        <v>23</v>
      </c>
      <c r="H14" s="42" t="s">
        <v>24</v>
      </c>
      <c r="I14" s="3">
        <v>-199454</v>
      </c>
      <c r="J14" s="3">
        <v>-129898</v>
      </c>
      <c r="L14" s="25"/>
      <c r="M14" s="32"/>
      <c r="N14" s="24"/>
      <c r="O14" s="24"/>
    </row>
    <row r="15" spans="1:15" x14ac:dyDescent="0.2">
      <c r="A15" s="529"/>
      <c r="B15" s="4" t="s">
        <v>17</v>
      </c>
      <c r="C15" s="44"/>
      <c r="D15" s="6">
        <v>864707</v>
      </c>
      <c r="E15" s="6">
        <v>1643805</v>
      </c>
      <c r="G15" s="25" t="s">
        <v>133</v>
      </c>
      <c r="H15" s="32"/>
      <c r="I15" s="24">
        <f>I20</f>
        <v>848.30200000000002</v>
      </c>
      <c r="J15" s="24">
        <f>J20</f>
        <v>-2261.61</v>
      </c>
      <c r="L15" s="16"/>
      <c r="M15" s="32"/>
      <c r="N15" s="15"/>
      <c r="O15" s="15"/>
    </row>
    <row r="16" spans="1:15" x14ac:dyDescent="0.2">
      <c r="A16" s="529"/>
      <c r="B16" s="7"/>
      <c r="C16" s="45"/>
      <c r="D16" s="8"/>
      <c r="E16" s="8"/>
      <c r="G16" s="25" t="s">
        <v>134</v>
      </c>
      <c r="H16" s="32"/>
      <c r="I16" s="24">
        <f>SUM(I14:I15)</f>
        <v>-198605.698</v>
      </c>
      <c r="J16" s="24">
        <f>SUM(J14:J15)</f>
        <v>-132159.60999999999</v>
      </c>
      <c r="L16" s="1"/>
      <c r="M16" s="42"/>
      <c r="N16" s="3"/>
      <c r="O16" s="3"/>
    </row>
    <row r="17" spans="1:15" x14ac:dyDescent="0.2">
      <c r="A17" s="529"/>
      <c r="B17" s="1" t="s">
        <v>18</v>
      </c>
      <c r="C17" s="42" t="s">
        <v>19</v>
      </c>
      <c r="D17" s="3">
        <v>16742</v>
      </c>
      <c r="E17" s="3">
        <v>21313</v>
      </c>
      <c r="G17" s="16" t="s">
        <v>126</v>
      </c>
      <c r="H17" s="32"/>
      <c r="I17" s="15">
        <f>I13+I16</f>
        <v>666101.30200000003</v>
      </c>
      <c r="J17" s="15">
        <f>J13+J16</f>
        <v>1511645.3900000001</v>
      </c>
      <c r="L17" s="1"/>
      <c r="M17" s="42"/>
      <c r="N17" s="3"/>
      <c r="O17" s="3"/>
    </row>
    <row r="18" spans="1:15" x14ac:dyDescent="0.2">
      <c r="A18" s="529"/>
      <c r="B18" s="1" t="s">
        <v>20</v>
      </c>
      <c r="C18" s="42" t="s">
        <v>19</v>
      </c>
      <c r="D18" s="3">
        <v>-27480</v>
      </c>
      <c r="E18" s="3">
        <v>-11648</v>
      </c>
      <c r="G18" s="1" t="s">
        <v>18</v>
      </c>
      <c r="H18" s="42" t="s">
        <v>19</v>
      </c>
      <c r="I18" s="3">
        <v>16742</v>
      </c>
      <c r="J18" s="3">
        <v>21313</v>
      </c>
      <c r="L18" s="25"/>
      <c r="M18" s="32"/>
      <c r="N18" s="24"/>
      <c r="O18" s="24"/>
    </row>
    <row r="19" spans="1:15" x14ac:dyDescent="0.2">
      <c r="A19" s="529"/>
      <c r="B19" s="4" t="s">
        <v>21</v>
      </c>
      <c r="C19" s="43"/>
      <c r="D19" s="6">
        <v>-10738</v>
      </c>
      <c r="E19" s="6">
        <v>9665</v>
      </c>
      <c r="G19" s="1" t="s">
        <v>20</v>
      </c>
      <c r="H19" s="42" t="s">
        <v>19</v>
      </c>
      <c r="I19" s="3">
        <v>-27480</v>
      </c>
      <c r="J19" s="3">
        <v>-11648</v>
      </c>
      <c r="L19" s="16"/>
      <c r="M19" s="33"/>
      <c r="N19" s="15"/>
      <c r="O19" s="15"/>
    </row>
    <row r="20" spans="1:15" x14ac:dyDescent="0.2">
      <c r="A20" s="529"/>
      <c r="B20" s="4"/>
      <c r="C20" s="43"/>
      <c r="D20" s="6"/>
      <c r="E20" s="6"/>
      <c r="G20" s="25" t="s">
        <v>133</v>
      </c>
      <c r="H20" s="32"/>
      <c r="I20" s="24">
        <f>-(I18+I19)*0.079</f>
        <v>848.30200000000002</v>
      </c>
      <c r="J20" s="24">
        <f>-(J18+J19)*0.234</f>
        <v>-2261.61</v>
      </c>
      <c r="L20" s="16"/>
      <c r="M20" s="33"/>
      <c r="N20" s="15"/>
      <c r="O20" s="15"/>
    </row>
    <row r="21" spans="1:15" x14ac:dyDescent="0.2">
      <c r="A21" s="529"/>
      <c r="B21" s="4" t="s">
        <v>22</v>
      </c>
      <c r="C21" s="43"/>
      <c r="D21" s="6">
        <v>853969</v>
      </c>
      <c r="E21" s="6">
        <v>1653470</v>
      </c>
      <c r="G21" s="16" t="s">
        <v>135</v>
      </c>
      <c r="H21" s="33"/>
      <c r="I21" s="15">
        <f>SUM(I17:I20)</f>
        <v>656211.60400000005</v>
      </c>
      <c r="J21" s="15">
        <f>SUM(J17:J20)</f>
        <v>1519048.78</v>
      </c>
      <c r="L21" s="1"/>
      <c r="M21" s="2"/>
      <c r="N21" s="3"/>
      <c r="O21" s="3"/>
    </row>
    <row r="22" spans="1:15" x14ac:dyDescent="0.2">
      <c r="A22" s="529"/>
      <c r="B22" s="7"/>
      <c r="C22" s="42"/>
      <c r="D22" s="8"/>
      <c r="E22" s="8"/>
      <c r="G22" s="16"/>
      <c r="H22" s="33"/>
      <c r="I22" s="15"/>
      <c r="J22" s="15"/>
      <c r="L22" s="4"/>
      <c r="M22" s="5"/>
      <c r="N22" s="6"/>
      <c r="O22" s="6"/>
    </row>
    <row r="23" spans="1:15" x14ac:dyDescent="0.2">
      <c r="A23" s="529"/>
      <c r="B23" s="1" t="s">
        <v>23</v>
      </c>
      <c r="C23" s="42" t="s">
        <v>24</v>
      </c>
      <c r="D23" s="3">
        <v>-199454</v>
      </c>
      <c r="E23" s="3">
        <v>-129898</v>
      </c>
      <c r="G23" s="1" t="s">
        <v>26</v>
      </c>
      <c r="H23" s="2"/>
      <c r="I23" s="3">
        <v>-6</v>
      </c>
      <c r="J23" s="3">
        <v>4311</v>
      </c>
    </row>
    <row r="24" spans="1:15" x14ac:dyDescent="0.2">
      <c r="A24" s="529"/>
      <c r="B24" s="4" t="s">
        <v>25</v>
      </c>
      <c r="C24" s="43"/>
      <c r="D24" s="6">
        <v>654515</v>
      </c>
      <c r="E24" s="6">
        <v>1523572</v>
      </c>
      <c r="G24" s="4" t="s">
        <v>27</v>
      </c>
      <c r="H24" s="5"/>
      <c r="I24" s="6">
        <f>SUM(I21:I23)</f>
        <v>656205.60400000005</v>
      </c>
      <c r="J24" s="6">
        <f>SUM(J21:J23)</f>
        <v>1523359.78</v>
      </c>
    </row>
    <row r="25" spans="1:15" x14ac:dyDescent="0.2">
      <c r="A25" s="529"/>
      <c r="B25" s="7"/>
      <c r="C25" s="42"/>
      <c r="D25" s="8"/>
      <c r="E25" s="8"/>
    </row>
    <row r="26" spans="1:15" x14ac:dyDescent="0.2">
      <c r="A26" s="529"/>
      <c r="B26" s="1" t="s">
        <v>26</v>
      </c>
      <c r="C26" s="42"/>
      <c r="D26" s="3">
        <v>-6</v>
      </c>
      <c r="E26" s="3">
        <v>4311</v>
      </c>
      <c r="J26" s="24"/>
    </row>
    <row r="27" spans="1:15" x14ac:dyDescent="0.2">
      <c r="A27" s="529"/>
      <c r="B27" s="4" t="s">
        <v>27</v>
      </c>
      <c r="C27" s="43"/>
      <c r="D27" s="6">
        <v>654509</v>
      </c>
      <c r="E27" s="6">
        <v>1527883</v>
      </c>
    </row>
    <row r="28" spans="1:15" x14ac:dyDescent="0.2">
      <c r="C28" s="32"/>
    </row>
    <row r="29" spans="1:15" x14ac:dyDescent="0.2">
      <c r="B29" s="1"/>
      <c r="C29" s="32"/>
      <c r="D29" s="1"/>
      <c r="E29" s="1"/>
      <c r="G29" s="528" t="s">
        <v>130</v>
      </c>
      <c r="H29" s="528"/>
      <c r="I29" s="528"/>
      <c r="J29" s="528"/>
      <c r="L29" s="1"/>
      <c r="M29" s="42"/>
      <c r="N29" s="3"/>
      <c r="O29" s="3"/>
    </row>
    <row r="30" spans="1:15" x14ac:dyDescent="0.2">
      <c r="A30" s="529" t="s">
        <v>28</v>
      </c>
      <c r="B30" s="26" t="s">
        <v>1</v>
      </c>
      <c r="C30" s="41" t="s">
        <v>2</v>
      </c>
      <c r="D30" s="26">
        <v>2019</v>
      </c>
      <c r="E30" s="26">
        <v>2020</v>
      </c>
      <c r="G30" s="26" t="s">
        <v>1</v>
      </c>
      <c r="H30" s="41" t="s">
        <v>2</v>
      </c>
      <c r="I30" s="26">
        <v>2019</v>
      </c>
      <c r="J30" s="26">
        <v>2020</v>
      </c>
      <c r="L30" s="1"/>
      <c r="M30" s="42"/>
      <c r="N30" s="3"/>
      <c r="O30" s="3"/>
    </row>
    <row r="31" spans="1:15" x14ac:dyDescent="0.2">
      <c r="A31" s="529"/>
      <c r="B31" s="25" t="s">
        <v>29</v>
      </c>
      <c r="C31" s="42" t="s">
        <v>3</v>
      </c>
      <c r="D31" s="3">
        <v>3282480</v>
      </c>
      <c r="E31" s="3">
        <v>2643756</v>
      </c>
      <c r="G31" s="25" t="s">
        <v>29</v>
      </c>
      <c r="H31" s="42" t="s">
        <v>3</v>
      </c>
      <c r="I31" s="3">
        <v>3282480</v>
      </c>
      <c r="J31" s="3">
        <v>2643756</v>
      </c>
    </row>
    <row r="32" spans="1:15" x14ac:dyDescent="0.2">
      <c r="A32" s="529"/>
      <c r="B32" s="11" t="s">
        <v>30</v>
      </c>
      <c r="C32" s="42" t="s">
        <v>4</v>
      </c>
      <c r="D32" s="3">
        <v>86358</v>
      </c>
      <c r="E32" s="3">
        <v>54194</v>
      </c>
      <c r="G32" s="11" t="s">
        <v>30</v>
      </c>
      <c r="H32" s="42" t="s">
        <v>4</v>
      </c>
      <c r="I32" s="3">
        <v>86358</v>
      </c>
      <c r="J32" s="3">
        <v>54194</v>
      </c>
    </row>
    <row r="33" spans="1:10" x14ac:dyDescent="0.2">
      <c r="A33" s="529"/>
      <c r="B33" s="16" t="s">
        <v>96</v>
      </c>
      <c r="C33" s="43"/>
      <c r="D33" s="6">
        <v>3368838</v>
      </c>
      <c r="E33" s="6">
        <v>2697950</v>
      </c>
      <c r="G33" s="25" t="s">
        <v>119</v>
      </c>
      <c r="H33" s="42" t="s">
        <v>6</v>
      </c>
      <c r="I33" s="3">
        <v>-2279485</v>
      </c>
      <c r="J33" s="3">
        <v>-1967586</v>
      </c>
    </row>
    <row r="34" spans="1:10" x14ac:dyDescent="0.2">
      <c r="A34" s="529"/>
      <c r="C34" s="42"/>
      <c r="D34" s="8"/>
      <c r="E34" s="8"/>
      <c r="G34" s="16" t="s">
        <v>120</v>
      </c>
      <c r="H34" s="32"/>
      <c r="I34" s="15">
        <f>SUM(I31:I33)</f>
        <v>1089353</v>
      </c>
      <c r="J34" s="15">
        <f>SUM(J31:J33)</f>
        <v>730364</v>
      </c>
    </row>
    <row r="35" spans="1:10" x14ac:dyDescent="0.2">
      <c r="A35" s="529"/>
      <c r="B35" s="25" t="s">
        <v>119</v>
      </c>
      <c r="C35" s="42" t="s">
        <v>6</v>
      </c>
      <c r="D35" s="3">
        <v>-2279485</v>
      </c>
      <c r="E35" s="3">
        <v>-1967586</v>
      </c>
      <c r="G35" s="25" t="s">
        <v>97</v>
      </c>
      <c r="H35" s="42" t="s">
        <v>7</v>
      </c>
      <c r="I35" s="3">
        <v>-132213</v>
      </c>
      <c r="J35" s="3">
        <v>-149849</v>
      </c>
    </row>
    <row r="36" spans="1:10" x14ac:dyDescent="0.2">
      <c r="A36" s="529"/>
      <c r="B36" s="25" t="s">
        <v>97</v>
      </c>
      <c r="C36" s="42" t="s">
        <v>7</v>
      </c>
      <c r="D36" s="3">
        <v>-132213</v>
      </c>
      <c r="E36" s="3">
        <v>-149849</v>
      </c>
      <c r="G36" s="25" t="s">
        <v>99</v>
      </c>
      <c r="H36" s="42" t="s">
        <v>11</v>
      </c>
      <c r="I36" s="3">
        <v>-141909</v>
      </c>
      <c r="J36" s="3">
        <v>-106995</v>
      </c>
    </row>
    <row r="37" spans="1:10" x14ac:dyDescent="0.2">
      <c r="A37" s="529"/>
      <c r="B37" s="27" t="s">
        <v>98</v>
      </c>
      <c r="C37" s="42" t="s">
        <v>9</v>
      </c>
      <c r="D37" s="23">
        <v>-12748</v>
      </c>
      <c r="E37" s="23">
        <v>-9803</v>
      </c>
      <c r="G37" s="25" t="s">
        <v>101</v>
      </c>
      <c r="H37" s="42" t="s">
        <v>13</v>
      </c>
      <c r="I37" s="3">
        <v>62224</v>
      </c>
      <c r="J37" s="3">
        <v>134961</v>
      </c>
    </row>
    <row r="38" spans="1:10" x14ac:dyDescent="0.2">
      <c r="A38" s="529"/>
      <c r="B38" s="25" t="s">
        <v>99</v>
      </c>
      <c r="C38" s="42" t="s">
        <v>11</v>
      </c>
      <c r="D38" s="3">
        <v>-141909</v>
      </c>
      <c r="E38" s="3">
        <v>-106995</v>
      </c>
      <c r="G38" s="25" t="s">
        <v>103</v>
      </c>
      <c r="H38" s="42" t="s">
        <v>15</v>
      </c>
      <c r="I38" s="3" t="s">
        <v>16</v>
      </c>
      <c r="J38" s="3">
        <v>1045127</v>
      </c>
    </row>
    <row r="39" spans="1:10" x14ac:dyDescent="0.2">
      <c r="A39" s="529"/>
      <c r="B39" s="16" t="s">
        <v>100</v>
      </c>
      <c r="C39" s="5"/>
      <c r="D39" s="6">
        <v>-2566355</v>
      </c>
      <c r="E39" s="6">
        <v>-2234233</v>
      </c>
      <c r="G39" s="16" t="s">
        <v>121</v>
      </c>
      <c r="H39" s="32"/>
      <c r="I39" s="15">
        <f>SUM(I34:I38)</f>
        <v>877455</v>
      </c>
      <c r="J39" s="15">
        <f>SUM(J34:J38)</f>
        <v>1653608</v>
      </c>
    </row>
    <row r="40" spans="1:10" x14ac:dyDescent="0.2">
      <c r="A40" s="529"/>
      <c r="B40" s="16"/>
      <c r="C40" s="2"/>
      <c r="D40" s="8"/>
      <c r="E40" s="8"/>
      <c r="G40" s="25" t="s">
        <v>98</v>
      </c>
      <c r="H40" s="42" t="s">
        <v>9</v>
      </c>
      <c r="I40" s="24">
        <v>-12748</v>
      </c>
      <c r="J40" s="24">
        <v>-9803</v>
      </c>
    </row>
    <row r="41" spans="1:10" x14ac:dyDescent="0.2">
      <c r="A41" s="529"/>
      <c r="B41" s="25" t="s">
        <v>101</v>
      </c>
      <c r="C41" s="42" t="s">
        <v>13</v>
      </c>
      <c r="D41" s="3">
        <v>62224</v>
      </c>
      <c r="E41" s="3">
        <v>134961</v>
      </c>
      <c r="G41" s="16" t="s">
        <v>122</v>
      </c>
      <c r="H41" s="33"/>
      <c r="I41" s="15">
        <f>SUM(I39:I40)</f>
        <v>864707</v>
      </c>
      <c r="J41" s="15">
        <f>SUM(J39:J40)</f>
        <v>1643805</v>
      </c>
    </row>
    <row r="42" spans="1:10" x14ac:dyDescent="0.2">
      <c r="A42" s="529"/>
      <c r="B42" s="25" t="s">
        <v>103</v>
      </c>
      <c r="C42" s="42" t="s">
        <v>15</v>
      </c>
      <c r="D42" s="3" t="s">
        <v>16</v>
      </c>
      <c r="E42" s="3">
        <v>1045127</v>
      </c>
      <c r="G42" s="25" t="s">
        <v>123</v>
      </c>
      <c r="H42" s="42" t="s">
        <v>24</v>
      </c>
      <c r="I42" s="3">
        <v>-199454</v>
      </c>
      <c r="J42" s="3">
        <v>-129898</v>
      </c>
    </row>
    <row r="43" spans="1:10" x14ac:dyDescent="0.2">
      <c r="A43" s="529"/>
      <c r="B43" s="16" t="s">
        <v>104</v>
      </c>
      <c r="C43" s="44"/>
      <c r="D43" s="6">
        <v>864707</v>
      </c>
      <c r="E43" s="6">
        <v>1643805</v>
      </c>
      <c r="G43" s="28" t="s">
        <v>124</v>
      </c>
      <c r="H43" s="32"/>
      <c r="I43" s="24">
        <f>I48</f>
        <v>848.30200000000002</v>
      </c>
      <c r="J43" s="24">
        <f>J48</f>
        <v>-2261.61</v>
      </c>
    </row>
    <row r="44" spans="1:10" x14ac:dyDescent="0.2">
      <c r="A44" s="529"/>
      <c r="C44" s="45"/>
      <c r="D44" s="8"/>
      <c r="E44" s="8"/>
      <c r="G44" s="25" t="s">
        <v>125</v>
      </c>
      <c r="H44" s="32"/>
      <c r="I44" s="24">
        <f>SUM(I42:I43)</f>
        <v>-198605.698</v>
      </c>
      <c r="J44" s="24">
        <f>SUM(J42:J43)</f>
        <v>-132159.60999999999</v>
      </c>
    </row>
    <row r="45" spans="1:10" x14ac:dyDescent="0.2">
      <c r="A45" s="529"/>
      <c r="B45" s="25" t="s">
        <v>105</v>
      </c>
      <c r="C45" s="42" t="s">
        <v>19</v>
      </c>
      <c r="D45" s="3">
        <v>16742</v>
      </c>
      <c r="E45" s="3">
        <v>21313</v>
      </c>
      <c r="G45" s="16" t="s">
        <v>127</v>
      </c>
      <c r="H45" s="33"/>
      <c r="I45" s="15">
        <f>I41+I44</f>
        <v>666101.30200000003</v>
      </c>
      <c r="J45" s="15">
        <f>J41+J44</f>
        <v>1511645.3900000001</v>
      </c>
    </row>
    <row r="46" spans="1:10" x14ac:dyDescent="0.2">
      <c r="A46" s="529"/>
      <c r="B46" s="25" t="s">
        <v>106</v>
      </c>
      <c r="C46" s="42" t="s">
        <v>19</v>
      </c>
      <c r="D46" s="3">
        <v>-27480</v>
      </c>
      <c r="E46" s="3">
        <v>-11648</v>
      </c>
      <c r="G46" s="25" t="s">
        <v>105</v>
      </c>
      <c r="H46" s="42" t="s">
        <v>19</v>
      </c>
      <c r="I46" s="3">
        <v>16742</v>
      </c>
      <c r="J46" s="3">
        <v>21313</v>
      </c>
    </row>
    <row r="47" spans="1:10" x14ac:dyDescent="0.2">
      <c r="A47" s="529"/>
      <c r="B47" s="16" t="s">
        <v>107</v>
      </c>
      <c r="C47" s="43"/>
      <c r="D47" s="6">
        <v>-10738</v>
      </c>
      <c r="E47" s="6">
        <v>9665</v>
      </c>
      <c r="G47" s="25" t="s">
        <v>106</v>
      </c>
      <c r="H47" s="42" t="s">
        <v>19</v>
      </c>
      <c r="I47" s="3">
        <v>-27480</v>
      </c>
      <c r="J47" s="3">
        <v>-11648</v>
      </c>
    </row>
    <row r="48" spans="1:10" x14ac:dyDescent="0.2">
      <c r="A48" s="529"/>
      <c r="B48" s="16"/>
      <c r="C48" s="43"/>
      <c r="D48" s="6"/>
      <c r="E48" s="6"/>
      <c r="G48" s="28" t="s">
        <v>128</v>
      </c>
      <c r="I48" s="29">
        <f>-(I46+I47)*0.079</f>
        <v>848.30200000000002</v>
      </c>
      <c r="J48" s="24">
        <f>-(J46+J47)*0.234</f>
        <v>-2261.61</v>
      </c>
    </row>
    <row r="49" spans="1:10" x14ac:dyDescent="0.2">
      <c r="A49" s="529"/>
      <c r="B49" s="16" t="s">
        <v>31</v>
      </c>
      <c r="C49" s="43"/>
      <c r="D49" s="6">
        <v>853969</v>
      </c>
      <c r="E49" s="6">
        <v>1653470</v>
      </c>
      <c r="F49" s="30"/>
      <c r="G49" s="16" t="s">
        <v>129</v>
      </c>
      <c r="H49" s="16"/>
      <c r="I49" s="15">
        <f>SUM(I45:I48)</f>
        <v>656211.60400000005</v>
      </c>
      <c r="J49" s="15">
        <f>SUM(J45:J48)</f>
        <v>1519048.78</v>
      </c>
    </row>
    <row r="50" spans="1:10" x14ac:dyDescent="0.2">
      <c r="A50" s="529"/>
      <c r="B50" s="16"/>
      <c r="C50" s="42"/>
      <c r="D50" s="8"/>
      <c r="E50" s="8"/>
      <c r="G50" s="16"/>
      <c r="H50" s="16"/>
      <c r="I50" s="15"/>
      <c r="J50" s="15"/>
    </row>
    <row r="51" spans="1:10" x14ac:dyDescent="0.2">
      <c r="A51" s="529"/>
      <c r="B51" s="25" t="s">
        <v>108</v>
      </c>
      <c r="C51" s="42" t="s">
        <v>24</v>
      </c>
      <c r="D51" s="3">
        <v>-199454</v>
      </c>
      <c r="E51" s="3">
        <v>-129898</v>
      </c>
      <c r="G51" s="25" t="s">
        <v>109</v>
      </c>
      <c r="H51" s="2"/>
      <c r="I51" s="3">
        <v>-6</v>
      </c>
      <c r="J51" s="3">
        <v>4311</v>
      </c>
    </row>
    <row r="52" spans="1:10" x14ac:dyDescent="0.2">
      <c r="A52" s="529"/>
      <c r="B52" s="16" t="s">
        <v>32</v>
      </c>
      <c r="C52" s="43"/>
      <c r="D52" s="6">
        <v>654515</v>
      </c>
      <c r="E52" s="6">
        <v>1523572</v>
      </c>
      <c r="G52" s="16" t="s">
        <v>33</v>
      </c>
      <c r="H52" s="5"/>
      <c r="I52" s="6">
        <f>SUM(I49:I51)</f>
        <v>656205.60400000005</v>
      </c>
      <c r="J52" s="6">
        <f>SUM(J49:J51)</f>
        <v>1523359.78</v>
      </c>
    </row>
    <row r="53" spans="1:10" x14ac:dyDescent="0.2">
      <c r="A53" s="529"/>
      <c r="C53" s="42"/>
      <c r="D53" s="8"/>
      <c r="E53" s="8"/>
    </row>
    <row r="54" spans="1:10" x14ac:dyDescent="0.2">
      <c r="A54" s="529"/>
      <c r="B54" s="25" t="s">
        <v>109</v>
      </c>
      <c r="C54" s="2"/>
      <c r="D54" s="3">
        <v>-6</v>
      </c>
      <c r="E54" s="3">
        <v>4311</v>
      </c>
    </row>
    <row r="55" spans="1:10" x14ac:dyDescent="0.2">
      <c r="A55" s="529"/>
      <c r="B55" s="16" t="s">
        <v>33</v>
      </c>
      <c r="C55" s="5"/>
      <c r="D55" s="6">
        <v>654509</v>
      </c>
      <c r="E55" s="6">
        <v>1527883</v>
      </c>
    </row>
  </sheetData>
  <mergeCells count="6">
    <mergeCell ref="L1:O1"/>
    <mergeCell ref="A2:A27"/>
    <mergeCell ref="A30:A55"/>
    <mergeCell ref="B1:E1"/>
    <mergeCell ref="G1:J1"/>
    <mergeCell ref="G29:J29"/>
  </mergeCell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7ACA6-3C3E-AA45-8DD3-89240312D126}">
  <dimension ref="B2:AJ42"/>
  <sheetViews>
    <sheetView zoomScale="130" zoomScaleNormal="130" workbookViewId="0">
      <selection activeCell="Z15" sqref="Z15"/>
    </sheetView>
  </sheetViews>
  <sheetFormatPr baseColWidth="10" defaultRowHeight="16" x14ac:dyDescent="0.2"/>
  <cols>
    <col min="1" max="1" width="3.83203125" style="61" customWidth="1"/>
    <col min="2" max="2" width="20.5" style="61" customWidth="1"/>
    <col min="3" max="6" width="8.33203125" style="61" customWidth="1"/>
    <col min="7" max="7" width="12.6640625" style="61" bestFit="1" customWidth="1"/>
    <col min="8" max="9" width="10.83203125" style="61"/>
    <col min="10" max="10" width="23.1640625" style="61" customWidth="1"/>
    <col min="11" max="14" width="6.5" style="61" customWidth="1"/>
    <col min="15" max="15" width="7.33203125" style="61" customWidth="1"/>
    <col min="16" max="16" width="13.83203125" style="61" customWidth="1"/>
    <col min="17" max="17" width="11.83203125" style="61" customWidth="1"/>
    <col min="18" max="18" width="25.33203125" style="61" customWidth="1"/>
    <col min="19" max="19" width="22.83203125" style="61" customWidth="1"/>
    <col min="20" max="20" width="10.83203125" style="61"/>
    <col min="21" max="21" width="29.1640625" style="61" customWidth="1"/>
    <col min="22" max="26" width="6.33203125" style="61" customWidth="1"/>
    <col min="27" max="27" width="7.6640625" style="61" customWidth="1"/>
    <col min="28" max="29" width="10.83203125" style="61"/>
    <col min="30" max="30" width="14" style="61" customWidth="1"/>
    <col min="31" max="35" width="6.33203125" style="61" customWidth="1"/>
    <col min="36" max="36" width="7.6640625" style="61" customWidth="1"/>
    <col min="37" max="16384" width="10.83203125" style="61"/>
  </cols>
  <sheetData>
    <row r="2" spans="2:36" x14ac:dyDescent="0.2">
      <c r="B2" s="119"/>
      <c r="C2" s="119">
        <v>2016</v>
      </c>
      <c r="D2" s="119">
        <v>2017</v>
      </c>
      <c r="E2" s="119">
        <v>2018</v>
      </c>
      <c r="F2" s="119">
        <v>2019</v>
      </c>
      <c r="G2" s="119">
        <v>2020</v>
      </c>
    </row>
    <row r="3" spans="2:36" x14ac:dyDescent="0.2">
      <c r="B3" s="61" t="s">
        <v>265</v>
      </c>
      <c r="C3" s="202"/>
      <c r="D3" s="202"/>
      <c r="E3" s="202"/>
      <c r="F3" s="202"/>
      <c r="G3" s="202"/>
    </row>
    <row r="4" spans="2:36" x14ac:dyDescent="0.2">
      <c r="B4" s="61" t="s">
        <v>266</v>
      </c>
      <c r="C4" s="202">
        <f>Balanseny!J90</f>
        <v>2689857</v>
      </c>
      <c r="D4" s="202">
        <f>Balanseny!K90</f>
        <v>2848723</v>
      </c>
      <c r="E4" s="202">
        <f>Balanseny!L90</f>
        <v>3106770</v>
      </c>
      <c r="F4" s="202">
        <f>Balanseny!M90</f>
        <v>3374218</v>
      </c>
      <c r="G4" s="202">
        <f>Balanseny!N90</f>
        <v>2430023</v>
      </c>
    </row>
    <row r="5" spans="2:36" x14ac:dyDescent="0.2">
      <c r="B5" s="61" t="s">
        <v>240</v>
      </c>
      <c r="C5" s="202"/>
      <c r="D5" s="202"/>
      <c r="E5" s="202"/>
      <c r="F5" s="202"/>
      <c r="G5" s="202"/>
    </row>
    <row r="6" spans="2:36" x14ac:dyDescent="0.2">
      <c r="B6" s="280" t="s">
        <v>239</v>
      </c>
      <c r="C6" s="61">
        <v>3.21</v>
      </c>
      <c r="D6" s="61">
        <v>4.3499999999999996</v>
      </c>
      <c r="E6" s="61">
        <v>6.14</v>
      </c>
      <c r="F6" s="61">
        <v>7.04</v>
      </c>
      <c r="G6" s="61">
        <v>5.31</v>
      </c>
    </row>
    <row r="8" spans="2:36" x14ac:dyDescent="0.2">
      <c r="B8" s="203"/>
      <c r="C8" s="204">
        <v>2016</v>
      </c>
      <c r="D8" s="204">
        <v>2017</v>
      </c>
      <c r="E8" s="204">
        <v>2018</v>
      </c>
      <c r="F8" s="204">
        <v>2019</v>
      </c>
      <c r="G8" s="205">
        <v>2020</v>
      </c>
      <c r="J8" s="203"/>
      <c r="K8" s="204">
        <f>C2</f>
        <v>2016</v>
      </c>
      <c r="L8" s="204">
        <f>D2</f>
        <v>2017</v>
      </c>
      <c r="M8" s="204">
        <f>E2</f>
        <v>2018</v>
      </c>
      <c r="N8" s="204">
        <f>F2</f>
        <v>2019</v>
      </c>
      <c r="O8" s="223" t="s">
        <v>268</v>
      </c>
      <c r="P8" s="311"/>
    </row>
    <row r="9" spans="2:36" x14ac:dyDescent="0.2">
      <c r="B9" s="234" t="s">
        <v>236</v>
      </c>
      <c r="C9" s="61">
        <v>1.6</v>
      </c>
      <c r="D9" s="61">
        <v>3</v>
      </c>
      <c r="E9" s="61">
        <v>4.5</v>
      </c>
      <c r="F9" s="61">
        <v>3.5</v>
      </c>
      <c r="G9" s="284">
        <v>6</v>
      </c>
      <c r="J9" s="234" t="s">
        <v>273</v>
      </c>
      <c r="K9" s="202">
        <f>Resultatny!C24</f>
        <v>300888</v>
      </c>
      <c r="L9" s="202">
        <f>Resultatny!D24</f>
        <v>401149</v>
      </c>
      <c r="M9" s="202">
        <f>Resultatny!E24</f>
        <v>566844</v>
      </c>
      <c r="N9" s="202">
        <f>Resultatny!F24</f>
        <v>654515</v>
      </c>
      <c r="O9" s="210">
        <f>Resultatny!G24</f>
        <v>1523572</v>
      </c>
    </row>
    <row r="10" spans="2:36" x14ac:dyDescent="0.2">
      <c r="B10" s="232" t="s">
        <v>237</v>
      </c>
      <c r="C10" s="201">
        <f>C6</f>
        <v>3.21</v>
      </c>
      <c r="D10" s="201">
        <f t="shared" ref="D10:F10" si="0">D6</f>
        <v>4.3499999999999996</v>
      </c>
      <c r="E10" s="201">
        <f t="shared" si="0"/>
        <v>6.14</v>
      </c>
      <c r="F10" s="201">
        <f t="shared" si="0"/>
        <v>7.04</v>
      </c>
      <c r="G10" s="318">
        <f>G6</f>
        <v>5.31</v>
      </c>
      <c r="J10" s="279" t="s">
        <v>274</v>
      </c>
      <c r="K10" s="316">
        <f>K9*0.4</f>
        <v>120355.20000000001</v>
      </c>
      <c r="L10" s="316">
        <f t="shared" ref="L10:O10" si="1">L9*0.4</f>
        <v>160459.6</v>
      </c>
      <c r="M10" s="316">
        <f t="shared" si="1"/>
        <v>226737.6</v>
      </c>
      <c r="N10" s="316">
        <f t="shared" si="1"/>
        <v>261806</v>
      </c>
      <c r="O10" s="317">
        <f t="shared" si="1"/>
        <v>609428.80000000005</v>
      </c>
      <c r="U10" s="203" t="s">
        <v>377</v>
      </c>
      <c r="V10" s="204">
        <v>2016</v>
      </c>
      <c r="W10" s="204">
        <v>2017</v>
      </c>
      <c r="X10" s="204">
        <v>2018</v>
      </c>
      <c r="Y10" s="204">
        <v>2019</v>
      </c>
      <c r="Z10" s="204">
        <v>2020</v>
      </c>
      <c r="AA10" s="447" t="s">
        <v>264</v>
      </c>
      <c r="AD10" s="203" t="s">
        <v>381</v>
      </c>
      <c r="AE10" s="204">
        <v>2016</v>
      </c>
      <c r="AF10" s="204">
        <v>2017</v>
      </c>
      <c r="AG10" s="204">
        <v>2018</v>
      </c>
      <c r="AH10" s="204">
        <v>2019</v>
      </c>
      <c r="AI10" s="204">
        <v>2020</v>
      </c>
      <c r="AJ10" s="447" t="s">
        <v>264</v>
      </c>
    </row>
    <row r="11" spans="2:36" x14ac:dyDescent="0.2">
      <c r="B11" s="294" t="s">
        <v>238</v>
      </c>
      <c r="C11" s="277">
        <f>C9/C10</f>
        <v>0.49844236760124616</v>
      </c>
      <c r="D11" s="277">
        <f t="shared" ref="D11:G11" si="2">D9/D10</f>
        <v>0.68965517241379315</v>
      </c>
      <c r="E11" s="277">
        <f t="shared" si="2"/>
        <v>0.73289902280130292</v>
      </c>
      <c r="F11" s="277">
        <f t="shared" si="2"/>
        <v>0.49715909090909088</v>
      </c>
      <c r="G11" s="278">
        <f t="shared" si="2"/>
        <v>1.1299435028248588</v>
      </c>
      <c r="J11" s="201"/>
      <c r="K11" s="211"/>
      <c r="L11" s="211"/>
      <c r="M11" s="211"/>
      <c r="N11" s="211"/>
      <c r="O11" s="211"/>
      <c r="U11" s="234" t="s">
        <v>378</v>
      </c>
      <c r="V11" s="61">
        <v>234</v>
      </c>
      <c r="W11" s="61">
        <v>239</v>
      </c>
      <c r="X11" s="61">
        <v>203</v>
      </c>
      <c r="Y11" s="61">
        <v>129</v>
      </c>
      <c r="Z11" s="61">
        <v>244</v>
      </c>
      <c r="AA11" s="457">
        <f>AVERAGE(V11:Z11)</f>
        <v>209.8</v>
      </c>
      <c r="AD11" s="234" t="s">
        <v>378</v>
      </c>
      <c r="AE11" s="61">
        <v>397</v>
      </c>
      <c r="AF11" s="61">
        <v>506</v>
      </c>
      <c r="AG11" s="202">
        <v>1121</v>
      </c>
      <c r="AH11" s="61">
        <v>824</v>
      </c>
      <c r="AI11" s="202">
        <v>1259</v>
      </c>
      <c r="AJ11" s="457">
        <f>AVERAGE(AE11:AI11)</f>
        <v>821.4</v>
      </c>
    </row>
    <row r="12" spans="2:36" x14ac:dyDescent="0.2">
      <c r="J12" s="201"/>
      <c r="K12" s="211"/>
      <c r="L12" s="211"/>
      <c r="M12" s="211"/>
      <c r="N12" s="211"/>
      <c r="O12" s="211"/>
      <c r="U12" s="232" t="s">
        <v>379</v>
      </c>
      <c r="V12" s="201">
        <v>1.73</v>
      </c>
      <c r="W12" s="201">
        <v>1.52</v>
      </c>
      <c r="X12" s="201">
        <v>1.92</v>
      </c>
      <c r="Y12" s="201">
        <v>1.96</v>
      </c>
      <c r="Z12" s="201">
        <v>1.69</v>
      </c>
      <c r="AA12" s="458">
        <f t="shared" ref="AA12:AA13" si="3">AVERAGE(V12:Z12)</f>
        <v>1.764</v>
      </c>
      <c r="AD12" s="232" t="s">
        <v>379</v>
      </c>
      <c r="AE12" s="201">
        <v>1.39</v>
      </c>
      <c r="AF12" s="201">
        <v>1.32</v>
      </c>
      <c r="AG12" s="201">
        <v>1.29</v>
      </c>
      <c r="AH12" s="201">
        <v>1.31</v>
      </c>
      <c r="AI12" s="201">
        <v>1.28</v>
      </c>
      <c r="AJ12" s="458">
        <f t="shared" ref="AJ12:AJ13" si="4">AVERAGE(AE12:AI12)</f>
        <v>1.3180000000000001</v>
      </c>
    </row>
    <row r="13" spans="2:36" x14ac:dyDescent="0.2">
      <c r="B13" s="203"/>
      <c r="C13" s="204">
        <v>2017</v>
      </c>
      <c r="D13" s="204">
        <v>2018</v>
      </c>
      <c r="E13" s="204">
        <v>2019</v>
      </c>
      <c r="F13" s="205">
        <v>2020</v>
      </c>
      <c r="K13" s="202"/>
      <c r="L13" s="202"/>
      <c r="M13" s="202"/>
      <c r="N13" s="202"/>
      <c r="O13" s="202"/>
      <c r="U13" s="236" t="s">
        <v>380</v>
      </c>
      <c r="V13" s="285">
        <v>0.32</v>
      </c>
      <c r="W13" s="285">
        <v>0.19</v>
      </c>
      <c r="X13" s="285">
        <v>0.28000000000000003</v>
      </c>
      <c r="Y13" s="285">
        <v>0.37</v>
      </c>
      <c r="Z13" s="285">
        <v>0.28000000000000003</v>
      </c>
      <c r="AA13" s="459">
        <f t="shared" si="3"/>
        <v>0.28800000000000003</v>
      </c>
      <c r="AD13" s="236" t="s">
        <v>380</v>
      </c>
      <c r="AE13" s="285">
        <v>1.41</v>
      </c>
      <c r="AF13" s="285">
        <v>0.34</v>
      </c>
      <c r="AG13" s="285">
        <v>0.47</v>
      </c>
      <c r="AH13" s="285">
        <v>1.6</v>
      </c>
      <c r="AI13" s="285">
        <v>1.52</v>
      </c>
      <c r="AJ13" s="459">
        <f t="shared" si="4"/>
        <v>1.0680000000000001</v>
      </c>
    </row>
    <row r="14" spans="2:36" x14ac:dyDescent="0.2">
      <c r="B14" s="234" t="s">
        <v>234</v>
      </c>
      <c r="C14" s="72">
        <f>Lønnsomhet!D55</f>
        <v>0.15578403379762237</v>
      </c>
      <c r="D14" s="72">
        <f>Lønnsomhet!E55</f>
        <v>0.19442809323570145</v>
      </c>
      <c r="E14" s="72">
        <f>Lønnsomhet!F55</f>
        <v>0.20397595279938197</v>
      </c>
      <c r="F14" s="207">
        <f>Lønnsomhet!G55</f>
        <v>0.16372014359699369</v>
      </c>
      <c r="G14" s="72"/>
      <c r="J14" s="203"/>
      <c r="K14" s="204">
        <f>K8</f>
        <v>2016</v>
      </c>
      <c r="L14" s="204">
        <f t="shared" ref="L14:O14" si="5">L8</f>
        <v>2017</v>
      </c>
      <c r="M14" s="204">
        <f t="shared" si="5"/>
        <v>2018</v>
      </c>
      <c r="N14" s="204">
        <f t="shared" si="5"/>
        <v>2019</v>
      </c>
      <c r="O14" s="223" t="str">
        <f t="shared" si="5"/>
        <v>2020 (2)</v>
      </c>
    </row>
    <row r="15" spans="2:36" x14ac:dyDescent="0.2">
      <c r="B15" s="232" t="s">
        <v>235</v>
      </c>
      <c r="C15" s="292">
        <f t="shared" ref="C15:F15" si="6">D11</f>
        <v>0.68965517241379315</v>
      </c>
      <c r="D15" s="292">
        <f t="shared" si="6"/>
        <v>0.73289902280130292</v>
      </c>
      <c r="E15" s="292">
        <f t="shared" si="6"/>
        <v>0.49715909090909088</v>
      </c>
      <c r="F15" s="293">
        <f t="shared" si="6"/>
        <v>1.1299435028248588</v>
      </c>
      <c r="G15" s="235"/>
      <c r="J15" s="234" t="s">
        <v>275</v>
      </c>
      <c r="K15" s="202">
        <f>Balanseny!J7</f>
        <v>2699172</v>
      </c>
      <c r="L15" s="202">
        <f>Balanseny!K7</f>
        <v>2858142</v>
      </c>
      <c r="M15" s="202">
        <f>Balanseny!L7</f>
        <v>3116136</v>
      </c>
      <c r="N15" s="202">
        <f>Balanseny!M7</f>
        <v>3382084</v>
      </c>
      <c r="O15" s="210">
        <f>Balanseny!N7</f>
        <v>2437815</v>
      </c>
    </row>
    <row r="16" spans="2:36" x14ac:dyDescent="0.2">
      <c r="B16" s="236" t="s">
        <v>272</v>
      </c>
      <c r="C16" s="277">
        <f>C14*(1-C15)</f>
        <v>4.8346769109606939E-2</v>
      </c>
      <c r="D16" s="277">
        <f t="shared" ref="D16:F16" si="7">D14*(1-D15)</f>
        <v>5.1931933698135244E-2</v>
      </c>
      <c r="E16" s="277">
        <f t="shared" si="7"/>
        <v>0.10256745353832561</v>
      </c>
      <c r="F16" s="278">
        <f t="shared" si="7"/>
        <v>-2.1274368941982234E-2</v>
      </c>
      <c r="G16" s="190"/>
      <c r="J16" s="232" t="s">
        <v>276</v>
      </c>
      <c r="K16" s="211">
        <f>Balanseny!J26</f>
        <v>6408662</v>
      </c>
      <c r="L16" s="211">
        <f>Balanseny!K26</f>
        <v>6352018</v>
      </c>
      <c r="M16" s="211">
        <f>Balanseny!L26</f>
        <v>6491129</v>
      </c>
      <c r="N16" s="211">
        <f>Balanseny!M26</f>
        <v>6912432</v>
      </c>
      <c r="O16" s="212">
        <f>Balanseny!N26</f>
        <v>5970802</v>
      </c>
    </row>
    <row r="17" spans="2:30" x14ac:dyDescent="0.2">
      <c r="J17" s="236" t="s">
        <v>277</v>
      </c>
      <c r="K17" s="314">
        <f>K15/K16</f>
        <v>0.42117559016218986</v>
      </c>
      <c r="L17" s="314">
        <f t="shared" ref="L17:O17" si="8">L15/L16</f>
        <v>0.44995810780133177</v>
      </c>
      <c r="M17" s="314">
        <f t="shared" si="8"/>
        <v>0.48006071054819588</v>
      </c>
      <c r="N17" s="314">
        <f t="shared" si="8"/>
        <v>0.4892755545371007</v>
      </c>
      <c r="O17" s="315">
        <f t="shared" si="8"/>
        <v>0.40828937218149253</v>
      </c>
    </row>
    <row r="18" spans="2:30" x14ac:dyDescent="0.2">
      <c r="B18" s="61" t="s">
        <v>193</v>
      </c>
    </row>
    <row r="19" spans="2:30" x14ac:dyDescent="0.2">
      <c r="B19" s="61" t="s">
        <v>255</v>
      </c>
    </row>
    <row r="20" spans="2:30" x14ac:dyDescent="0.2">
      <c r="B20" s="61" t="s">
        <v>185</v>
      </c>
      <c r="J20" s="203"/>
      <c r="K20" s="204">
        <f>K14</f>
        <v>2016</v>
      </c>
      <c r="L20" s="204">
        <f t="shared" ref="L20:O20" si="9">L14</f>
        <v>2017</v>
      </c>
      <c r="M20" s="204">
        <f t="shared" si="9"/>
        <v>2018</v>
      </c>
      <c r="N20" s="204">
        <f t="shared" si="9"/>
        <v>2019</v>
      </c>
      <c r="O20" s="450" t="str">
        <f t="shared" si="9"/>
        <v>2020 (2)</v>
      </c>
    </row>
    <row r="21" spans="2:30" x14ac:dyDescent="0.2">
      <c r="B21" s="61" t="s">
        <v>244</v>
      </c>
      <c r="J21" s="234" t="s">
        <v>278</v>
      </c>
      <c r="K21" s="61">
        <f>C9</f>
        <v>1.6</v>
      </c>
      <c r="L21" s="61">
        <f t="shared" ref="L21:O21" si="10">D9</f>
        <v>3</v>
      </c>
      <c r="M21" s="61">
        <f t="shared" si="10"/>
        <v>4.5</v>
      </c>
      <c r="N21" s="61">
        <f t="shared" si="10"/>
        <v>3.5</v>
      </c>
      <c r="O21" s="284">
        <f t="shared" si="10"/>
        <v>6</v>
      </c>
    </row>
    <row r="22" spans="2:30" x14ac:dyDescent="0.2">
      <c r="B22" s="61" t="s">
        <v>256</v>
      </c>
      <c r="J22" s="279" t="s">
        <v>279</v>
      </c>
      <c r="K22" s="216"/>
      <c r="L22" s="319">
        <f>(L21-K21)/K21</f>
        <v>0.87499999999999989</v>
      </c>
      <c r="M22" s="319">
        <f t="shared" ref="M22:O22" si="11">(M21-L21)/L21</f>
        <v>0.5</v>
      </c>
      <c r="N22" s="319">
        <f t="shared" si="11"/>
        <v>-0.22222222222222221</v>
      </c>
      <c r="O22" s="320">
        <f t="shared" si="11"/>
        <v>0.7142857142857143</v>
      </c>
    </row>
    <row r="23" spans="2:30" x14ac:dyDescent="0.2">
      <c r="B23" s="61" t="s">
        <v>257</v>
      </c>
    </row>
    <row r="24" spans="2:30" x14ac:dyDescent="0.2">
      <c r="B24" s="280" t="s">
        <v>258</v>
      </c>
    </row>
    <row r="26" spans="2:30" x14ac:dyDescent="0.2">
      <c r="J26" s="203" t="s">
        <v>280</v>
      </c>
      <c r="K26" s="204">
        <v>2017</v>
      </c>
      <c r="L26" s="204">
        <v>2018</v>
      </c>
      <c r="M26" s="451">
        <v>2019</v>
      </c>
      <c r="N26" s="204">
        <v>2020</v>
      </c>
      <c r="O26" s="223" t="s">
        <v>264</v>
      </c>
      <c r="Q26" s="326" t="s">
        <v>280</v>
      </c>
      <c r="R26" s="329" t="s">
        <v>283</v>
      </c>
    </row>
    <row r="27" spans="2:30" ht="20" customHeight="1" x14ac:dyDescent="0.2">
      <c r="J27" s="234" t="s">
        <v>281</v>
      </c>
      <c r="K27" s="61">
        <v>701</v>
      </c>
      <c r="L27" s="61">
        <v>696</v>
      </c>
      <c r="M27" s="452">
        <v>752</v>
      </c>
      <c r="N27" s="61">
        <v>683</v>
      </c>
      <c r="O27" s="284">
        <f>AVERAGE(K27:N27)</f>
        <v>708</v>
      </c>
      <c r="Q27" s="234" t="s">
        <v>281</v>
      </c>
      <c r="R27" s="284"/>
    </row>
    <row r="28" spans="2:30" ht="20" customHeight="1" x14ac:dyDescent="0.2">
      <c r="B28" s="119"/>
      <c r="C28" s="119">
        <v>2016</v>
      </c>
      <c r="D28" s="119">
        <v>2017</v>
      </c>
      <c r="E28" s="119">
        <v>2018</v>
      </c>
      <c r="F28" s="119">
        <v>2019</v>
      </c>
      <c r="G28" s="119">
        <v>2020</v>
      </c>
      <c r="J28" s="232" t="s">
        <v>376</v>
      </c>
      <c r="K28" s="211">
        <v>2948</v>
      </c>
      <c r="L28" s="211">
        <v>2829</v>
      </c>
      <c r="M28" s="453">
        <v>3753</v>
      </c>
      <c r="N28" s="211">
        <v>3460</v>
      </c>
      <c r="O28" s="212">
        <f>AVERAGE(K28:N28)</f>
        <v>3247.5</v>
      </c>
      <c r="Q28" s="232" t="s">
        <v>376</v>
      </c>
      <c r="R28" s="318"/>
    </row>
    <row r="29" spans="2:30" ht="20" customHeight="1" x14ac:dyDescent="0.2">
      <c r="B29" s="61" t="s">
        <v>241</v>
      </c>
      <c r="J29" s="236" t="s">
        <v>282</v>
      </c>
      <c r="K29" s="312">
        <v>1463</v>
      </c>
      <c r="L29" s="312">
        <v>1449</v>
      </c>
      <c r="M29" s="454">
        <v>1504</v>
      </c>
      <c r="N29" s="312">
        <v>1310</v>
      </c>
      <c r="O29" s="313">
        <f>AVERAGE(K29:N29)</f>
        <v>1431.5</v>
      </c>
      <c r="Q29" s="236" t="s">
        <v>282</v>
      </c>
      <c r="R29" s="286"/>
    </row>
    <row r="30" spans="2:30" x14ac:dyDescent="0.2">
      <c r="B30" s="61" t="s">
        <v>197</v>
      </c>
    </row>
    <row r="31" spans="2:30" x14ac:dyDescent="0.2">
      <c r="B31" s="61" t="s">
        <v>242</v>
      </c>
      <c r="K31" s="537"/>
      <c r="L31" s="537"/>
      <c r="M31" s="537"/>
      <c r="N31" s="537"/>
      <c r="U31" s="61" t="s">
        <v>377</v>
      </c>
      <c r="AD31" s="61" t="s">
        <v>381</v>
      </c>
    </row>
    <row r="32" spans="2:30" x14ac:dyDescent="0.2">
      <c r="J32" s="61" t="s">
        <v>377</v>
      </c>
      <c r="K32" s="537">
        <v>2016</v>
      </c>
      <c r="L32" s="537"/>
      <c r="M32" s="537"/>
      <c r="N32" s="537"/>
      <c r="O32" s="61">
        <v>2017</v>
      </c>
      <c r="P32" s="61">
        <v>2018</v>
      </c>
      <c r="Q32" s="61">
        <v>2019</v>
      </c>
      <c r="R32" s="61">
        <v>2020</v>
      </c>
      <c r="AA32"/>
    </row>
    <row r="33" spans="2:27" x14ac:dyDescent="0.2">
      <c r="K33" s="537"/>
      <c r="L33" s="537"/>
      <c r="M33" s="537"/>
      <c r="N33" s="537"/>
    </row>
    <row r="34" spans="2:27" x14ac:dyDescent="0.2">
      <c r="C34" s="202"/>
      <c r="D34" s="202"/>
      <c r="E34" s="202"/>
      <c r="F34" s="202"/>
      <c r="G34" s="202"/>
      <c r="K34" s="537"/>
      <c r="L34" s="537"/>
      <c r="M34" s="537"/>
      <c r="N34" s="537"/>
    </row>
    <row r="35" spans="2:27" x14ac:dyDescent="0.2">
      <c r="B35" s="280"/>
      <c r="U35" s="203" t="s">
        <v>377</v>
      </c>
      <c r="V35" s="204">
        <v>2016</v>
      </c>
      <c r="W35" s="204">
        <v>2017</v>
      </c>
      <c r="X35" s="204">
        <v>2018</v>
      </c>
      <c r="Y35" s="204">
        <v>2019</v>
      </c>
      <c r="Z35" s="204">
        <v>2020</v>
      </c>
      <c r="AA35" s="223" t="s">
        <v>264</v>
      </c>
    </row>
    <row r="36" spans="2:27" x14ac:dyDescent="0.2">
      <c r="U36" s="234" t="s">
        <v>383</v>
      </c>
      <c r="V36" s="391">
        <v>0.99</v>
      </c>
      <c r="W36" s="391">
        <v>1.1200000000000001</v>
      </c>
      <c r="X36" s="391">
        <v>0.9</v>
      </c>
      <c r="Y36" s="391">
        <v>0.51</v>
      </c>
      <c r="Z36" s="391">
        <v>0.65</v>
      </c>
      <c r="AA36" s="392">
        <f>AVERAGE(V36:Z36)</f>
        <v>0.83400000000000019</v>
      </c>
    </row>
    <row r="37" spans="2:27" x14ac:dyDescent="0.2">
      <c r="U37" s="232" t="s">
        <v>382</v>
      </c>
      <c r="V37" s="397">
        <v>1.37</v>
      </c>
      <c r="W37" s="397">
        <v>1.22</v>
      </c>
      <c r="X37" s="397">
        <v>1.08</v>
      </c>
      <c r="Y37" s="397">
        <v>1.04</v>
      </c>
      <c r="Z37" s="397">
        <v>1.45</v>
      </c>
      <c r="AA37" s="398">
        <f t="shared" ref="AA37:AA42" si="12">AVERAGE(V37:Z37)</f>
        <v>1.232</v>
      </c>
    </row>
    <row r="38" spans="2:27" x14ac:dyDescent="0.2">
      <c r="U38" s="234" t="s">
        <v>388</v>
      </c>
      <c r="V38" s="391">
        <v>0.5</v>
      </c>
      <c r="W38" s="391">
        <v>0.47</v>
      </c>
      <c r="X38" s="391">
        <v>0.53</v>
      </c>
      <c r="Y38" s="391">
        <v>0.66</v>
      </c>
      <c r="Z38" s="391">
        <v>0.61</v>
      </c>
      <c r="AA38" s="392">
        <f t="shared" si="12"/>
        <v>0.55400000000000005</v>
      </c>
    </row>
    <row r="39" spans="2:27" x14ac:dyDescent="0.2">
      <c r="U39" s="232" t="s">
        <v>384</v>
      </c>
      <c r="V39" s="397">
        <v>0.42</v>
      </c>
      <c r="W39" s="397">
        <v>0.45</v>
      </c>
      <c r="X39" s="397">
        <v>0.48</v>
      </c>
      <c r="Y39" s="397">
        <v>0.49</v>
      </c>
      <c r="Z39" s="397">
        <v>0.41</v>
      </c>
      <c r="AA39" s="398">
        <f t="shared" si="12"/>
        <v>0.45</v>
      </c>
    </row>
    <row r="40" spans="2:27" x14ac:dyDescent="0.2">
      <c r="U40" s="234" t="s">
        <v>385</v>
      </c>
      <c r="V40" s="391">
        <v>0.12</v>
      </c>
      <c r="W40" s="391">
        <v>0.09</v>
      </c>
      <c r="X40" s="391">
        <v>0.13</v>
      </c>
      <c r="Y40" s="391">
        <v>0.28000000000000003</v>
      </c>
      <c r="Z40" s="391">
        <v>0.46</v>
      </c>
      <c r="AA40" s="392">
        <f t="shared" si="12"/>
        <v>0.21600000000000003</v>
      </c>
    </row>
    <row r="41" spans="2:27" x14ac:dyDescent="0.2">
      <c r="U41" s="232" t="s">
        <v>386</v>
      </c>
      <c r="V41" s="397">
        <v>9.64</v>
      </c>
      <c r="W41" s="397">
        <v>10.34</v>
      </c>
      <c r="X41" s="397">
        <v>26.59</v>
      </c>
      <c r="Y41" s="397">
        <v>31.47</v>
      </c>
      <c r="Z41" s="397">
        <v>51.4</v>
      </c>
      <c r="AA41" s="398">
        <f t="shared" si="12"/>
        <v>25.887999999999998</v>
      </c>
    </row>
    <row r="42" spans="2:27" x14ac:dyDescent="0.2">
      <c r="U42" s="236" t="s">
        <v>387</v>
      </c>
      <c r="V42" s="462">
        <v>0.47</v>
      </c>
      <c r="W42" s="462">
        <v>0.28999999999999998</v>
      </c>
      <c r="X42" s="462">
        <v>0.34</v>
      </c>
      <c r="Y42" s="462">
        <v>0.9</v>
      </c>
      <c r="Z42" s="462">
        <v>1.58</v>
      </c>
      <c r="AA42" s="456">
        <f t="shared" si="12"/>
        <v>0.71599999999999997</v>
      </c>
    </row>
  </sheetData>
  <mergeCells count="4">
    <mergeCell ref="K31:N31"/>
    <mergeCell ref="K32:N32"/>
    <mergeCell ref="K33:N33"/>
    <mergeCell ref="K34:N34"/>
  </mergeCells>
  <pageMargins left="0.7" right="0.7" top="0.75" bottom="0.75" header="0.3" footer="0.3"/>
  <drawing r:id="rId1"/>
  <legacyDrawing r:id="rId2"/>
  <extLst>
    <ext xmlns:x14="http://schemas.microsoft.com/office/spreadsheetml/2009/9/main" uri="{05C60535-1F16-4fd2-B633-F4F36F0B64E0}">
      <x14:sparklineGroups xmlns:xm="http://schemas.microsoft.com/office/excel/2006/main">
        <x14:sparklineGroup type="column" displayEmptyCellsAs="gap" high="1" xr2:uid="{0A360ACE-5FDC-024F-B178-79087DC884B7}">
          <x14:colorSeries rgb="FF376092"/>
          <x14:colorNegative rgb="FFD00000"/>
          <x14:colorAxis rgb="FF000000"/>
          <x14:colorMarkers rgb="FFD00000"/>
          <x14:colorFirst rgb="FFD00000"/>
          <x14:colorLast rgb="FFD00000"/>
          <x14:colorHigh theme="9" tint="0.39997558519241921"/>
          <x14:colorLow rgb="FFD00000"/>
          <x14:sparklines>
            <x14:sparkline>
              <xm:f>Vekst!K27:N27</xm:f>
              <xm:sqref>R27</xm:sqref>
            </x14:sparkline>
            <x14:sparkline>
              <xm:f>Vekst!K28:N28</xm:f>
              <xm:sqref>R28</xm:sqref>
            </x14:sparkline>
            <x14:sparkline>
              <xm:f>Vekst!K29:N29</xm:f>
              <xm:sqref>R29</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F03B7-20D7-2A49-9B42-A7B3F424BD93}">
  <dimension ref="A1:M36"/>
  <sheetViews>
    <sheetView topLeftCell="F1" zoomScale="87" zoomScaleNormal="130" workbookViewId="0">
      <selection activeCell="B32" sqref="B32"/>
    </sheetView>
  </sheetViews>
  <sheetFormatPr baseColWidth="10" defaultRowHeight="16" x14ac:dyDescent="0.2"/>
  <cols>
    <col min="1" max="1" width="3.83203125" customWidth="1"/>
    <col min="2" max="2" width="56.1640625" customWidth="1"/>
    <col min="3" max="3" width="13.33203125" customWidth="1"/>
    <col min="4" max="4" width="10.33203125" bestFit="1" customWidth="1"/>
    <col min="5" max="5" width="10.33203125" customWidth="1"/>
    <col min="6" max="6" width="52.6640625" bestFit="1" customWidth="1"/>
    <col min="7" max="7" width="13.33203125" customWidth="1"/>
    <col min="8" max="8" width="9.83203125" bestFit="1" customWidth="1"/>
    <col min="9" max="9" width="6.33203125" customWidth="1"/>
    <col min="10" max="10" width="43.83203125" bestFit="1" customWidth="1"/>
    <col min="11" max="11" width="13" customWidth="1"/>
    <col min="12" max="12" width="9.83203125" bestFit="1" customWidth="1"/>
    <col min="15" max="15" width="52.6640625" bestFit="1" customWidth="1"/>
    <col min="16" max="17" width="9.83203125" bestFit="1" customWidth="1"/>
    <col min="19" max="19" width="43.83203125" bestFit="1" customWidth="1"/>
    <col min="20" max="20" width="10.33203125" bestFit="1" customWidth="1"/>
    <col min="21" max="21" width="9.83203125" bestFit="1" customWidth="1"/>
  </cols>
  <sheetData>
    <row r="1" spans="1:13" x14ac:dyDescent="0.2">
      <c r="A1" s="61"/>
      <c r="B1" s="61"/>
      <c r="C1" s="61"/>
      <c r="D1" s="61"/>
      <c r="E1" s="61"/>
      <c r="F1" s="61"/>
      <c r="G1" s="61"/>
      <c r="H1" s="61"/>
      <c r="I1" s="61"/>
      <c r="J1" s="61"/>
      <c r="K1" s="61"/>
      <c r="L1" s="61"/>
      <c r="M1" s="61"/>
    </row>
    <row r="2" spans="1:13" ht="19" x14ac:dyDescent="0.25">
      <c r="A2" s="61"/>
      <c r="B2" s="556" t="s">
        <v>163</v>
      </c>
      <c r="C2" s="556"/>
      <c r="D2" s="61"/>
      <c r="E2" s="61"/>
      <c r="F2" s="556" t="s">
        <v>162</v>
      </c>
      <c r="G2" s="556"/>
      <c r="H2" s="556"/>
      <c r="I2" s="556"/>
      <c r="J2" s="556"/>
      <c r="K2" s="556"/>
      <c r="L2" s="556"/>
      <c r="M2" s="61"/>
    </row>
    <row r="3" spans="1:13" x14ac:dyDescent="0.2">
      <c r="A3" s="61"/>
      <c r="B3" s="557"/>
      <c r="C3" s="557"/>
      <c r="D3" s="557"/>
      <c r="E3" s="55"/>
      <c r="F3" s="61"/>
      <c r="G3" s="61"/>
      <c r="H3" s="61"/>
      <c r="I3" s="61"/>
      <c r="J3" s="61"/>
      <c r="K3" s="61"/>
      <c r="L3" s="61"/>
      <c r="M3" s="61"/>
    </row>
    <row r="4" spans="1:13" x14ac:dyDescent="0.2">
      <c r="A4" s="61"/>
      <c r="B4" s="69" t="s">
        <v>1</v>
      </c>
      <c r="C4" s="69">
        <v>2019</v>
      </c>
      <c r="D4" s="69">
        <v>2020</v>
      </c>
      <c r="E4" s="46"/>
      <c r="F4" s="67" t="s">
        <v>34</v>
      </c>
      <c r="G4" s="67">
        <v>2019</v>
      </c>
      <c r="H4" s="67">
        <v>2020</v>
      </c>
      <c r="I4" s="68"/>
      <c r="J4" s="68"/>
      <c r="K4" s="67">
        <v>2019</v>
      </c>
      <c r="L4" s="67">
        <v>2020</v>
      </c>
      <c r="M4" s="61"/>
    </row>
    <row r="5" spans="1:13" x14ac:dyDescent="0.2">
      <c r="A5" s="61"/>
      <c r="B5" s="62" t="s">
        <v>117</v>
      </c>
      <c r="C5" s="48">
        <v>3282480</v>
      </c>
      <c r="D5" s="48">
        <v>2643756</v>
      </c>
      <c r="E5" s="48"/>
      <c r="F5" s="47"/>
      <c r="G5" s="47"/>
      <c r="H5" s="47"/>
      <c r="I5" s="47"/>
      <c r="J5" s="47"/>
      <c r="K5" s="47"/>
      <c r="L5" s="47"/>
      <c r="M5" s="61"/>
    </row>
    <row r="6" spans="1:13" x14ac:dyDescent="0.2">
      <c r="A6" s="61"/>
      <c r="B6" s="47" t="s">
        <v>118</v>
      </c>
      <c r="C6" s="47">
        <v>86358</v>
      </c>
      <c r="D6" s="47">
        <v>54194</v>
      </c>
      <c r="E6" s="47"/>
      <c r="F6" s="47" t="s">
        <v>35</v>
      </c>
      <c r="G6" s="49">
        <v>383376</v>
      </c>
      <c r="H6" s="49">
        <v>383376</v>
      </c>
      <c r="I6" s="47"/>
      <c r="J6" s="47" t="s">
        <v>49</v>
      </c>
      <c r="K6" s="49">
        <v>3374218</v>
      </c>
      <c r="L6" s="49">
        <v>2430023</v>
      </c>
      <c r="M6" s="61"/>
    </row>
    <row r="7" spans="1:13" x14ac:dyDescent="0.2">
      <c r="A7" s="61"/>
      <c r="B7" s="47" t="s">
        <v>119</v>
      </c>
      <c r="C7" s="48">
        <v>-2279485</v>
      </c>
      <c r="D7" s="48">
        <v>-1967586</v>
      </c>
      <c r="E7" s="48"/>
      <c r="F7" s="47" t="s">
        <v>36</v>
      </c>
      <c r="G7" s="49">
        <v>5588</v>
      </c>
      <c r="H7" s="49">
        <v>7332</v>
      </c>
      <c r="I7" s="47"/>
      <c r="J7" s="47" t="s">
        <v>50</v>
      </c>
      <c r="K7" s="49">
        <v>7866</v>
      </c>
      <c r="L7" s="49">
        <v>7792</v>
      </c>
      <c r="M7" s="61"/>
    </row>
    <row r="8" spans="1:13" x14ac:dyDescent="0.2">
      <c r="A8" s="61"/>
      <c r="B8" s="53" t="s">
        <v>131</v>
      </c>
      <c r="C8" s="54">
        <f>SUM(C5:C7)</f>
        <v>1089353</v>
      </c>
      <c r="D8" s="54">
        <f>SUM(D5:D7)</f>
        <v>730364</v>
      </c>
      <c r="E8" s="51"/>
      <c r="F8" s="47" t="s">
        <v>37</v>
      </c>
      <c r="G8" s="49">
        <v>44219</v>
      </c>
      <c r="H8" s="49">
        <v>34976</v>
      </c>
      <c r="I8" s="47"/>
      <c r="J8" s="53" t="s">
        <v>111</v>
      </c>
      <c r="K8" s="54">
        <v>3382084</v>
      </c>
      <c r="L8" s="54">
        <v>2437815</v>
      </c>
      <c r="M8" s="61"/>
    </row>
    <row r="9" spans="1:13" x14ac:dyDescent="0.2">
      <c r="A9" s="61"/>
      <c r="B9" s="62" t="s">
        <v>95</v>
      </c>
      <c r="C9" s="48">
        <v>-132213</v>
      </c>
      <c r="D9" s="48">
        <v>-149849</v>
      </c>
      <c r="E9" s="48"/>
      <c r="F9" s="47" t="s">
        <v>38</v>
      </c>
      <c r="G9" s="49">
        <v>430281</v>
      </c>
      <c r="H9" s="49">
        <v>406850</v>
      </c>
      <c r="I9" s="47"/>
      <c r="J9" s="47"/>
      <c r="K9" s="47"/>
      <c r="L9" s="47"/>
      <c r="M9" s="61"/>
    </row>
    <row r="10" spans="1:13" x14ac:dyDescent="0.2">
      <c r="A10" s="61"/>
      <c r="B10" s="62" t="s">
        <v>10</v>
      </c>
      <c r="C10" s="48">
        <v>-141909</v>
      </c>
      <c r="D10" s="48">
        <v>-106995</v>
      </c>
      <c r="E10" s="48"/>
      <c r="F10" s="47" t="s">
        <v>62</v>
      </c>
      <c r="G10" s="49">
        <v>70893</v>
      </c>
      <c r="H10" s="49">
        <v>73539</v>
      </c>
      <c r="I10" s="47"/>
      <c r="J10" s="47" t="s">
        <v>51</v>
      </c>
      <c r="K10" s="49">
        <v>1017</v>
      </c>
      <c r="L10" s="49">
        <v>1030</v>
      </c>
      <c r="M10" s="61"/>
    </row>
    <row r="11" spans="1:13" x14ac:dyDescent="0.2">
      <c r="A11" s="61"/>
      <c r="B11" s="62" t="s">
        <v>102</v>
      </c>
      <c r="C11" s="48">
        <v>62224</v>
      </c>
      <c r="D11" s="48">
        <v>134961</v>
      </c>
      <c r="E11" s="48"/>
      <c r="F11" s="47" t="s">
        <v>40</v>
      </c>
      <c r="G11" s="49">
        <v>165283</v>
      </c>
      <c r="H11" s="49">
        <v>119601</v>
      </c>
      <c r="I11" s="47"/>
      <c r="J11" s="47" t="s">
        <v>53</v>
      </c>
      <c r="K11" s="49">
        <v>1092288</v>
      </c>
      <c r="L11" s="49">
        <v>1100293</v>
      </c>
      <c r="M11" s="61"/>
    </row>
    <row r="12" spans="1:13" x14ac:dyDescent="0.2">
      <c r="A12" s="61"/>
      <c r="B12" s="62" t="s">
        <v>14</v>
      </c>
      <c r="C12" s="48" t="s">
        <v>16</v>
      </c>
      <c r="D12" s="48">
        <v>1045127</v>
      </c>
      <c r="E12" s="48"/>
      <c r="F12" s="56" t="s">
        <v>90</v>
      </c>
      <c r="G12" s="49">
        <v>-24444</v>
      </c>
      <c r="H12" s="49">
        <v>-30506</v>
      </c>
      <c r="I12" s="47"/>
      <c r="J12" s="47" t="s">
        <v>55</v>
      </c>
      <c r="K12" s="49">
        <v>1161043</v>
      </c>
      <c r="L12" s="49">
        <v>674014</v>
      </c>
      <c r="M12" s="61"/>
    </row>
    <row r="13" spans="1:13" x14ac:dyDescent="0.2">
      <c r="A13" s="61"/>
      <c r="B13" s="53" t="s">
        <v>132</v>
      </c>
      <c r="C13" s="54">
        <f>SUM(C8:C12)</f>
        <v>877455</v>
      </c>
      <c r="D13" s="54">
        <f>SUM(D8:D12)</f>
        <v>1653608</v>
      </c>
      <c r="E13" s="51"/>
      <c r="F13" s="56" t="s">
        <v>52</v>
      </c>
      <c r="G13" s="49">
        <v>-60373</v>
      </c>
      <c r="H13" s="49">
        <v>-60373</v>
      </c>
      <c r="I13" s="47"/>
      <c r="J13" s="47" t="s">
        <v>110</v>
      </c>
      <c r="K13" s="49">
        <v>0</v>
      </c>
      <c r="L13" s="49">
        <v>694121</v>
      </c>
      <c r="M13" s="61"/>
    </row>
    <row r="14" spans="1:13" x14ac:dyDescent="0.2">
      <c r="A14" s="61"/>
      <c r="B14" s="62" t="s">
        <v>8</v>
      </c>
      <c r="C14" s="48">
        <v>-12748</v>
      </c>
      <c r="D14" s="48">
        <v>-9803</v>
      </c>
      <c r="E14" s="48"/>
      <c r="F14" s="56" t="s">
        <v>92</v>
      </c>
      <c r="G14" s="49">
        <v>-3105</v>
      </c>
      <c r="H14" s="49">
        <v>-17810</v>
      </c>
      <c r="I14" s="47"/>
      <c r="J14" s="47" t="s">
        <v>150</v>
      </c>
      <c r="K14" s="49">
        <v>58044</v>
      </c>
      <c r="L14" s="49">
        <v>0</v>
      </c>
      <c r="M14" s="61"/>
    </row>
    <row r="15" spans="1:13" x14ac:dyDescent="0.2">
      <c r="A15" s="61"/>
      <c r="B15" s="63" t="s">
        <v>122</v>
      </c>
      <c r="C15" s="54">
        <f>SUM(C13:C14)</f>
        <v>864707</v>
      </c>
      <c r="D15" s="54">
        <f>SUM(D13:D14)</f>
        <v>1643805</v>
      </c>
      <c r="E15" s="51"/>
      <c r="F15" s="56" t="s">
        <v>113</v>
      </c>
      <c r="G15" s="49">
        <v>-35263</v>
      </c>
      <c r="H15" s="49">
        <v>-26738</v>
      </c>
      <c r="I15" s="47"/>
      <c r="J15" s="56" t="s">
        <v>79</v>
      </c>
      <c r="K15" s="49">
        <v>-1178686</v>
      </c>
      <c r="L15" s="49">
        <v>-885333</v>
      </c>
      <c r="M15" s="61"/>
    </row>
    <row r="16" spans="1:13" x14ac:dyDescent="0.2">
      <c r="A16" s="61"/>
      <c r="B16" s="62" t="s">
        <v>23</v>
      </c>
      <c r="C16" s="48">
        <v>-199454</v>
      </c>
      <c r="D16" s="48">
        <v>-129898</v>
      </c>
      <c r="E16" s="48"/>
      <c r="F16" s="57" t="s">
        <v>152</v>
      </c>
      <c r="G16" s="54">
        <f>SUM(G6:G15)</f>
        <v>976455</v>
      </c>
      <c r="H16" s="54">
        <f>SUM(H6:H15)</f>
        <v>890247</v>
      </c>
      <c r="I16" s="47"/>
      <c r="J16" s="56" t="s">
        <v>148</v>
      </c>
      <c r="K16" s="49">
        <v>-864171</v>
      </c>
      <c r="L16" s="49">
        <v>0</v>
      </c>
      <c r="M16" s="61"/>
    </row>
    <row r="17" spans="1:13" x14ac:dyDescent="0.2">
      <c r="A17" s="61"/>
      <c r="B17" s="47" t="s">
        <v>133</v>
      </c>
      <c r="C17" s="49">
        <f>C22</f>
        <v>848.30200000000002</v>
      </c>
      <c r="D17" s="49">
        <f>D22</f>
        <v>-2261.61</v>
      </c>
      <c r="E17" s="49"/>
      <c r="F17" s="47" t="s">
        <v>42</v>
      </c>
      <c r="G17" s="49">
        <v>3636663</v>
      </c>
      <c r="H17" s="49">
        <v>3940793</v>
      </c>
      <c r="I17" s="47"/>
      <c r="J17" s="53" t="s">
        <v>159</v>
      </c>
      <c r="K17" s="54">
        <f>SUM(K10:K16)</f>
        <v>269535</v>
      </c>
      <c r="L17" s="54">
        <f>SUM(L10:L16)</f>
        <v>1584125</v>
      </c>
      <c r="M17" s="61"/>
    </row>
    <row r="18" spans="1:13" x14ac:dyDescent="0.2">
      <c r="A18" s="61"/>
      <c r="B18" s="47" t="s">
        <v>134</v>
      </c>
      <c r="C18" s="49">
        <f>SUM(C16:C17)</f>
        <v>-198605.698</v>
      </c>
      <c r="D18" s="49">
        <f>SUM(D16:D17)</f>
        <v>-132159.60999999999</v>
      </c>
      <c r="E18" s="49"/>
      <c r="F18" s="47" t="s">
        <v>43</v>
      </c>
      <c r="G18" s="49">
        <v>82220</v>
      </c>
      <c r="H18" s="49">
        <v>70466</v>
      </c>
      <c r="I18" s="47"/>
      <c r="J18" s="47"/>
      <c r="K18" s="47"/>
      <c r="L18" s="47"/>
      <c r="M18" s="61"/>
    </row>
    <row r="19" spans="1:13" x14ac:dyDescent="0.2">
      <c r="A19" s="61"/>
      <c r="B19" s="53" t="s">
        <v>126</v>
      </c>
      <c r="C19" s="54">
        <f>C15+C18</f>
        <v>666101.30200000003</v>
      </c>
      <c r="D19" s="54">
        <f>D15+D18</f>
        <v>1511645.3900000001</v>
      </c>
      <c r="E19" s="51"/>
      <c r="F19" s="47" t="s">
        <v>44</v>
      </c>
      <c r="G19" s="49">
        <v>51052</v>
      </c>
      <c r="H19" s="49">
        <v>48536</v>
      </c>
      <c r="I19" s="47"/>
      <c r="J19" s="52" t="s">
        <v>160</v>
      </c>
      <c r="K19" s="58">
        <f>K8+K17</f>
        <v>3651619</v>
      </c>
      <c r="L19" s="58">
        <f>L8+L17</f>
        <v>4021940</v>
      </c>
      <c r="M19" s="61"/>
    </row>
    <row r="20" spans="1:13" x14ac:dyDescent="0.2">
      <c r="A20" s="61"/>
      <c r="B20" s="62" t="s">
        <v>18</v>
      </c>
      <c r="C20" s="48">
        <v>16742</v>
      </c>
      <c r="D20" s="48">
        <v>21313</v>
      </c>
      <c r="E20" s="48"/>
      <c r="F20" s="56" t="s">
        <v>115</v>
      </c>
      <c r="G20" s="49">
        <v>-7922</v>
      </c>
      <c r="H20" s="49">
        <v>-8524</v>
      </c>
      <c r="I20" s="47"/>
      <c r="J20" s="47"/>
      <c r="K20" s="47"/>
      <c r="L20" s="47"/>
      <c r="M20" s="61"/>
    </row>
    <row r="21" spans="1:13" x14ac:dyDescent="0.2">
      <c r="A21" s="61"/>
      <c r="B21" s="62" t="s">
        <v>20</v>
      </c>
      <c r="C21" s="48">
        <v>-27480</v>
      </c>
      <c r="D21" s="48">
        <v>-11648</v>
      </c>
      <c r="E21" s="48"/>
      <c r="F21" s="56" t="s">
        <v>56</v>
      </c>
      <c r="G21" s="49">
        <v>-167633</v>
      </c>
      <c r="H21" s="49">
        <v>-137495</v>
      </c>
      <c r="I21" s="47"/>
      <c r="J21" s="47"/>
      <c r="K21" s="47"/>
      <c r="L21" s="47"/>
      <c r="M21" s="61"/>
    </row>
    <row r="22" spans="1:13" x14ac:dyDescent="0.2">
      <c r="A22" s="61"/>
      <c r="B22" s="47" t="s">
        <v>133</v>
      </c>
      <c r="C22" s="49">
        <f>-(C20+C21)*0.079</f>
        <v>848.30200000000002</v>
      </c>
      <c r="D22" s="49">
        <f>-(D20+D21)*0.234</f>
        <v>-2261.61</v>
      </c>
      <c r="E22" s="49"/>
      <c r="F22" s="56" t="s">
        <v>57</v>
      </c>
      <c r="G22" s="49">
        <v>-208488</v>
      </c>
      <c r="H22" s="49">
        <v>-130994</v>
      </c>
      <c r="I22" s="47"/>
      <c r="J22" s="47"/>
      <c r="K22" s="47"/>
      <c r="L22" s="47"/>
      <c r="M22" s="61"/>
    </row>
    <row r="23" spans="1:13" x14ac:dyDescent="0.2">
      <c r="A23" s="61"/>
      <c r="B23" s="53" t="s">
        <v>164</v>
      </c>
      <c r="C23" s="54">
        <f>SUM(C19:C22)</f>
        <v>656211.60400000005</v>
      </c>
      <c r="D23" s="54">
        <f>SUM(D19:D22)</f>
        <v>1519048.78</v>
      </c>
      <c r="E23" s="51"/>
      <c r="F23" s="56" t="s">
        <v>58</v>
      </c>
      <c r="G23" s="49">
        <v>-710728</v>
      </c>
      <c r="H23" s="49">
        <v>-651089</v>
      </c>
      <c r="I23" s="47"/>
      <c r="J23" s="47"/>
      <c r="K23" s="47"/>
      <c r="L23" s="47"/>
      <c r="M23" s="61"/>
    </row>
    <row r="24" spans="1:13" x14ac:dyDescent="0.2">
      <c r="A24" s="61"/>
      <c r="B24" s="50"/>
      <c r="C24" s="51"/>
      <c r="D24" s="51"/>
      <c r="E24" s="51"/>
      <c r="F24" s="57" t="s">
        <v>153</v>
      </c>
      <c r="G24" s="54">
        <f>SUM(G17:G23)</f>
        <v>2675164</v>
      </c>
      <c r="H24" s="54">
        <f>SUM(H17:H23)</f>
        <v>3131693</v>
      </c>
      <c r="I24" s="47"/>
      <c r="J24" s="47"/>
      <c r="K24" s="47"/>
      <c r="L24" s="47"/>
      <c r="M24" s="61"/>
    </row>
    <row r="25" spans="1:13" x14ac:dyDescent="0.2">
      <c r="A25" s="61"/>
      <c r="B25" s="62" t="s">
        <v>26</v>
      </c>
      <c r="C25" s="48">
        <v>-6</v>
      </c>
      <c r="D25" s="48">
        <v>4311</v>
      </c>
      <c r="E25" s="48"/>
      <c r="F25" s="59"/>
      <c r="G25" s="51"/>
      <c r="H25" s="51"/>
      <c r="I25" s="47"/>
      <c r="J25" s="47"/>
      <c r="K25" s="47"/>
      <c r="L25" s="47"/>
      <c r="M25" s="61"/>
    </row>
    <row r="26" spans="1:13" x14ac:dyDescent="0.2">
      <c r="A26" s="61"/>
      <c r="B26" s="64" t="s">
        <v>27</v>
      </c>
      <c r="C26" s="65">
        <f>SUM(C23:C25)</f>
        <v>656205.60400000005</v>
      </c>
      <c r="D26" s="65">
        <f>SUM(D23:D25)</f>
        <v>1523359.78</v>
      </c>
      <c r="E26" s="66"/>
      <c r="F26" s="60" t="s">
        <v>154</v>
      </c>
      <c r="G26" s="58">
        <f>G16+G24</f>
        <v>3651619</v>
      </c>
      <c r="H26" s="58">
        <f>H16+H24</f>
        <v>4021940</v>
      </c>
      <c r="I26" s="47"/>
      <c r="J26" s="47"/>
      <c r="K26" s="47"/>
      <c r="L26" s="47"/>
      <c r="M26" s="61"/>
    </row>
    <row r="27" spans="1:13" x14ac:dyDescent="0.2">
      <c r="A27" s="61"/>
      <c r="B27" s="61"/>
      <c r="C27" s="61"/>
      <c r="D27" s="61"/>
      <c r="E27" s="61"/>
      <c r="F27" s="61"/>
      <c r="G27" s="61"/>
      <c r="H27" s="61"/>
      <c r="I27" s="61"/>
      <c r="J27" s="61"/>
      <c r="K27" s="61"/>
      <c r="L27" s="61"/>
      <c r="M27" s="61"/>
    </row>
    <row r="28" spans="1:13" x14ac:dyDescent="0.2">
      <c r="A28" s="61"/>
      <c r="B28" s="61"/>
      <c r="C28" s="61"/>
      <c r="D28" s="61"/>
      <c r="E28" s="61"/>
      <c r="F28" s="61"/>
      <c r="G28" s="61"/>
      <c r="H28" s="61"/>
      <c r="I28" s="61"/>
      <c r="J28" s="61"/>
      <c r="K28" s="61"/>
      <c r="L28" s="61"/>
      <c r="M28" s="61"/>
    </row>
    <row r="31" spans="1:13" x14ac:dyDescent="0.2">
      <c r="B31" s="50"/>
      <c r="C31" s="51"/>
      <c r="D31" s="51"/>
    </row>
    <row r="32" spans="1:13" x14ac:dyDescent="0.2">
      <c r="B32" s="50"/>
      <c r="C32" s="51"/>
      <c r="D32" s="51"/>
    </row>
    <row r="33" spans="2:4" x14ac:dyDescent="0.2">
      <c r="B33" s="70"/>
      <c r="C33" s="51"/>
      <c r="D33" s="51"/>
    </row>
    <row r="34" spans="2:4" x14ac:dyDescent="0.2">
      <c r="B34" s="50"/>
      <c r="C34" s="51"/>
      <c r="D34" s="51"/>
    </row>
    <row r="35" spans="2:4" x14ac:dyDescent="0.2">
      <c r="B35" s="50"/>
      <c r="C35" s="71"/>
      <c r="D35" s="71"/>
    </row>
    <row r="36" spans="2:4" x14ac:dyDescent="0.2">
      <c r="B36" s="70"/>
      <c r="C36" s="66"/>
      <c r="D36" s="66"/>
    </row>
  </sheetData>
  <mergeCells count="3">
    <mergeCell ref="B2:C2"/>
    <mergeCell ref="F2:L2"/>
    <mergeCell ref="B3:D3"/>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8A9CA-BF49-7247-9F2F-E6B88BE73C5B}">
  <dimension ref="A1:AN64"/>
  <sheetViews>
    <sheetView topLeftCell="AA1" zoomScale="90" zoomScaleNormal="90" workbookViewId="0">
      <selection activeCell="I28" sqref="I28"/>
    </sheetView>
  </sheetViews>
  <sheetFormatPr baseColWidth="10" defaultRowHeight="16" x14ac:dyDescent="0.2"/>
  <cols>
    <col min="1" max="1" width="11.33203125" customWidth="1"/>
    <col min="2" max="2" width="58.1640625" bestFit="1" customWidth="1"/>
    <col min="3" max="3" width="8.1640625" bestFit="1" customWidth="1"/>
    <col min="4" max="5" width="11" bestFit="1" customWidth="1"/>
    <col min="6" max="6" width="3.5" customWidth="1"/>
    <col min="7" max="7" width="60" bestFit="1" customWidth="1"/>
    <col min="8" max="8" width="6.1640625" bestFit="1" customWidth="1"/>
    <col min="9" max="10" width="11" bestFit="1" customWidth="1"/>
    <col min="12" max="12" width="58.5" bestFit="1" customWidth="1"/>
    <col min="13" max="13" width="8.33203125" bestFit="1" customWidth="1"/>
    <col min="14" max="15" width="10.83203125" bestFit="1" customWidth="1"/>
    <col min="16" max="16" width="4.1640625" customWidth="1"/>
    <col min="17" max="17" width="60" bestFit="1" customWidth="1"/>
    <col min="18" max="18" width="6.5" bestFit="1" customWidth="1"/>
    <col min="22" max="22" width="52" bestFit="1" customWidth="1"/>
    <col min="23" max="23" width="8.33203125" bestFit="1" customWidth="1"/>
    <col min="24" max="25" width="10.83203125" bestFit="1" customWidth="1"/>
    <col min="26" max="26" width="2.6640625" customWidth="1"/>
    <col min="27" max="27" width="60" bestFit="1" customWidth="1"/>
    <col min="28" max="28" width="5.33203125" bestFit="1" customWidth="1"/>
    <col min="32" max="32" width="52" bestFit="1" customWidth="1"/>
    <col min="33" max="33" width="8.33203125" bestFit="1" customWidth="1"/>
    <col min="34" max="35" width="11.5" bestFit="1" customWidth="1"/>
    <col min="36" max="36" width="4.33203125" customWidth="1"/>
    <col min="37" max="37" width="48.6640625" bestFit="1" customWidth="1"/>
    <col min="38" max="38" width="8.6640625" bestFit="1" customWidth="1"/>
    <col min="39" max="39" width="10.83203125" bestFit="1" customWidth="1"/>
    <col min="40" max="40" width="10.83203125" customWidth="1"/>
  </cols>
  <sheetData>
    <row r="1" spans="1:40" ht="21" x14ac:dyDescent="0.25">
      <c r="A1" s="17"/>
      <c r="B1" s="17"/>
      <c r="C1" s="17"/>
      <c r="D1" s="17"/>
      <c r="E1" s="17"/>
      <c r="F1" s="17"/>
      <c r="G1" s="17"/>
      <c r="H1" s="17"/>
      <c r="I1" s="17"/>
      <c r="L1" s="558" t="s">
        <v>157</v>
      </c>
      <c r="M1" s="558"/>
      <c r="N1" s="558"/>
      <c r="O1" s="558"/>
      <c r="P1" s="558"/>
      <c r="Q1" s="558"/>
      <c r="R1" s="558"/>
      <c r="S1" s="558"/>
      <c r="T1" s="558"/>
      <c r="V1" s="558" t="s">
        <v>156</v>
      </c>
      <c r="W1" s="558"/>
      <c r="X1" s="558"/>
      <c r="Y1" s="558"/>
      <c r="Z1" s="558"/>
      <c r="AA1" s="558"/>
      <c r="AB1" s="558"/>
      <c r="AC1" s="558"/>
      <c r="AD1" s="558"/>
      <c r="AF1" s="558" t="s">
        <v>158</v>
      </c>
      <c r="AG1" s="558"/>
      <c r="AH1" s="558"/>
      <c r="AI1" s="558"/>
      <c r="AJ1" s="558"/>
      <c r="AK1" s="558"/>
      <c r="AL1" s="558"/>
      <c r="AM1" s="558"/>
      <c r="AN1" s="558"/>
    </row>
    <row r="2" spans="1:40" x14ac:dyDescent="0.2">
      <c r="A2" s="529" t="s">
        <v>87</v>
      </c>
      <c r="B2" t="s">
        <v>34</v>
      </c>
      <c r="C2" s="35" t="s">
        <v>2</v>
      </c>
      <c r="D2">
        <v>2019</v>
      </c>
      <c r="E2">
        <v>2020</v>
      </c>
      <c r="H2" s="35" t="s">
        <v>2</v>
      </c>
      <c r="I2">
        <v>2019</v>
      </c>
      <c r="J2">
        <v>2020</v>
      </c>
      <c r="L2" t="s">
        <v>34</v>
      </c>
      <c r="M2" s="35" t="s">
        <v>2</v>
      </c>
      <c r="N2">
        <v>2019</v>
      </c>
      <c r="O2">
        <v>2020</v>
      </c>
      <c r="R2" s="35" t="s">
        <v>2</v>
      </c>
      <c r="S2">
        <v>2019</v>
      </c>
      <c r="T2">
        <v>2020</v>
      </c>
      <c r="V2" t="s">
        <v>34</v>
      </c>
      <c r="W2" s="35" t="s">
        <v>2</v>
      </c>
      <c r="X2">
        <v>2019</v>
      </c>
      <c r="Y2">
        <v>2020</v>
      </c>
      <c r="AB2" s="35" t="s">
        <v>2</v>
      </c>
      <c r="AC2">
        <v>2019</v>
      </c>
      <c r="AD2">
        <v>2020</v>
      </c>
      <c r="AF2" t="s">
        <v>34</v>
      </c>
      <c r="AG2" s="35" t="s">
        <v>2</v>
      </c>
      <c r="AH2">
        <v>2019</v>
      </c>
      <c r="AI2">
        <v>2020</v>
      </c>
      <c r="AL2" s="35" t="s">
        <v>2</v>
      </c>
      <c r="AM2">
        <v>2019</v>
      </c>
      <c r="AN2">
        <v>2020</v>
      </c>
    </row>
    <row r="3" spans="1:40" x14ac:dyDescent="0.2">
      <c r="A3" s="529"/>
      <c r="C3" s="35"/>
      <c r="D3" s="12"/>
      <c r="E3" s="12"/>
      <c r="H3" s="37"/>
      <c r="M3" s="35"/>
      <c r="N3" s="12"/>
      <c r="O3" s="12"/>
      <c r="R3" s="37"/>
      <c r="W3" s="37"/>
      <c r="AB3" s="37"/>
      <c r="AG3" s="37"/>
      <c r="AL3" s="37"/>
    </row>
    <row r="4" spans="1:40" x14ac:dyDescent="0.2">
      <c r="A4" s="529"/>
      <c r="B4" t="s">
        <v>35</v>
      </c>
      <c r="C4" s="35">
        <v>9</v>
      </c>
      <c r="D4" s="12">
        <v>383376</v>
      </c>
      <c r="E4" s="12">
        <v>383376</v>
      </c>
      <c r="G4" t="s">
        <v>49</v>
      </c>
      <c r="H4" s="35">
        <v>13</v>
      </c>
      <c r="I4" s="12">
        <v>3374218</v>
      </c>
      <c r="J4" s="12">
        <v>2430023</v>
      </c>
      <c r="L4" t="s">
        <v>35</v>
      </c>
      <c r="M4" s="35">
        <v>9</v>
      </c>
      <c r="N4" s="12">
        <v>383376</v>
      </c>
      <c r="O4" s="12">
        <v>383376</v>
      </c>
      <c r="Q4" t="s">
        <v>49</v>
      </c>
      <c r="R4" s="35">
        <v>13</v>
      </c>
      <c r="S4" s="12">
        <v>3374218</v>
      </c>
      <c r="T4" s="12">
        <v>2430023</v>
      </c>
      <c r="V4" t="s">
        <v>35</v>
      </c>
      <c r="W4" s="35">
        <v>9</v>
      </c>
      <c r="X4" s="12">
        <v>383376</v>
      </c>
      <c r="Y4" s="12">
        <v>383376</v>
      </c>
      <c r="AA4" t="s">
        <v>49</v>
      </c>
      <c r="AB4" s="35">
        <v>13</v>
      </c>
      <c r="AC4" s="12">
        <v>3374218</v>
      </c>
      <c r="AD4" s="12">
        <v>2430023</v>
      </c>
      <c r="AF4" t="s">
        <v>35</v>
      </c>
      <c r="AG4" s="35">
        <v>9</v>
      </c>
      <c r="AH4" s="12">
        <v>383376</v>
      </c>
      <c r="AI4" s="12">
        <v>383376</v>
      </c>
      <c r="AK4" t="s">
        <v>49</v>
      </c>
      <c r="AL4" s="35">
        <v>13</v>
      </c>
      <c r="AM4" s="12">
        <v>3374218</v>
      </c>
      <c r="AN4" s="12">
        <v>2430023</v>
      </c>
    </row>
    <row r="5" spans="1:40" x14ac:dyDescent="0.2">
      <c r="A5" s="529"/>
      <c r="B5" t="s">
        <v>36</v>
      </c>
      <c r="C5" s="35">
        <v>10</v>
      </c>
      <c r="D5" s="12">
        <v>5588</v>
      </c>
      <c r="E5" s="12">
        <v>7332</v>
      </c>
      <c r="G5" t="s">
        <v>50</v>
      </c>
      <c r="H5" s="35"/>
      <c r="I5" s="12">
        <v>7866</v>
      </c>
      <c r="J5" s="12">
        <v>7792</v>
      </c>
      <c r="L5" t="s">
        <v>36</v>
      </c>
      <c r="M5" s="35">
        <v>10</v>
      </c>
      <c r="N5" s="12">
        <v>5588</v>
      </c>
      <c r="O5" s="12">
        <v>7332</v>
      </c>
      <c r="Q5" t="s">
        <v>50</v>
      </c>
      <c r="R5" s="35"/>
      <c r="S5" s="12">
        <v>7866</v>
      </c>
      <c r="T5" s="12">
        <v>7792</v>
      </c>
      <c r="V5" t="s">
        <v>36</v>
      </c>
      <c r="W5" s="35">
        <v>10</v>
      </c>
      <c r="X5" s="12">
        <v>5588</v>
      </c>
      <c r="Y5" s="12">
        <v>7332</v>
      </c>
      <c r="AA5" t="s">
        <v>50</v>
      </c>
      <c r="AB5" s="35"/>
      <c r="AC5" s="12">
        <v>7866</v>
      </c>
      <c r="AD5" s="12">
        <v>7792</v>
      </c>
      <c r="AF5" t="s">
        <v>36</v>
      </c>
      <c r="AG5" s="35">
        <v>10</v>
      </c>
      <c r="AH5" s="12">
        <v>5588</v>
      </c>
      <c r="AI5" s="12">
        <v>7332</v>
      </c>
      <c r="AK5" t="s">
        <v>50</v>
      </c>
      <c r="AL5" s="35"/>
      <c r="AM5" s="12">
        <v>7866</v>
      </c>
      <c r="AN5" s="12">
        <v>7792</v>
      </c>
    </row>
    <row r="6" spans="1:40" x14ac:dyDescent="0.2">
      <c r="A6" s="529"/>
      <c r="B6" t="s">
        <v>37</v>
      </c>
      <c r="C6" s="35">
        <v>10</v>
      </c>
      <c r="D6" s="12">
        <v>44219</v>
      </c>
      <c r="E6" s="12">
        <v>34976</v>
      </c>
      <c r="G6" s="13" t="s">
        <v>111</v>
      </c>
      <c r="H6" s="34"/>
      <c r="I6" s="14">
        <v>3382084</v>
      </c>
      <c r="J6" s="14">
        <v>2437815</v>
      </c>
      <c r="L6" t="s">
        <v>37</v>
      </c>
      <c r="M6" s="35">
        <v>10</v>
      </c>
      <c r="N6" s="12">
        <v>44219</v>
      </c>
      <c r="O6" s="12">
        <v>34976</v>
      </c>
      <c r="Q6" s="13" t="s">
        <v>111</v>
      </c>
      <c r="R6" s="34"/>
      <c r="S6" s="14">
        <v>3382084</v>
      </c>
      <c r="T6" s="14">
        <v>2437815</v>
      </c>
      <c r="V6" t="s">
        <v>37</v>
      </c>
      <c r="W6" s="35">
        <v>10</v>
      </c>
      <c r="X6" s="12">
        <v>44219</v>
      </c>
      <c r="Y6" s="12">
        <v>34976</v>
      </c>
      <c r="AA6" s="13" t="s">
        <v>111</v>
      </c>
      <c r="AB6" s="34"/>
      <c r="AC6" s="14">
        <v>3382084</v>
      </c>
      <c r="AD6" s="14">
        <v>2437815</v>
      </c>
      <c r="AF6" t="s">
        <v>37</v>
      </c>
      <c r="AG6" s="35">
        <v>10</v>
      </c>
      <c r="AH6" s="12">
        <v>44219</v>
      </c>
      <c r="AI6" s="12">
        <v>34976</v>
      </c>
      <c r="AK6" s="13" t="s">
        <v>111</v>
      </c>
      <c r="AL6" s="34"/>
      <c r="AM6" s="14">
        <v>3382084</v>
      </c>
      <c r="AN6" s="14">
        <v>2437815</v>
      </c>
    </row>
    <row r="7" spans="1:40" x14ac:dyDescent="0.2">
      <c r="A7" s="529"/>
      <c r="B7" t="s">
        <v>38</v>
      </c>
      <c r="C7" s="35">
        <v>24</v>
      </c>
      <c r="D7" s="12">
        <v>430281</v>
      </c>
      <c r="E7" s="12">
        <v>406850</v>
      </c>
      <c r="H7" s="35"/>
      <c r="I7" s="15"/>
      <c r="J7" s="15"/>
      <c r="L7" t="s">
        <v>38</v>
      </c>
      <c r="M7" s="35">
        <v>24</v>
      </c>
      <c r="N7" s="12">
        <v>430281</v>
      </c>
      <c r="O7" s="12">
        <v>406850</v>
      </c>
      <c r="R7" s="37"/>
      <c r="V7" t="s">
        <v>38</v>
      </c>
      <c r="W7" s="35">
        <v>24</v>
      </c>
      <c r="X7" s="12">
        <v>430281</v>
      </c>
      <c r="Y7" s="12">
        <v>406850</v>
      </c>
      <c r="AB7" s="37"/>
      <c r="AF7" t="s">
        <v>38</v>
      </c>
      <c r="AG7" s="35">
        <v>24</v>
      </c>
      <c r="AH7" s="12">
        <v>430281</v>
      </c>
      <c r="AI7" s="12">
        <v>406850</v>
      </c>
      <c r="AL7" s="37"/>
    </row>
    <row r="8" spans="1:40" x14ac:dyDescent="0.2">
      <c r="A8" s="529"/>
      <c r="B8" t="s">
        <v>62</v>
      </c>
      <c r="C8" s="35" t="s">
        <v>39</v>
      </c>
      <c r="D8" s="12">
        <v>70893</v>
      </c>
      <c r="E8" s="12">
        <v>73539</v>
      </c>
      <c r="G8" t="s">
        <v>51</v>
      </c>
      <c r="H8" s="35"/>
      <c r="I8" s="12">
        <v>1017</v>
      </c>
      <c r="J8" s="12">
        <v>1030</v>
      </c>
      <c r="L8" t="s">
        <v>62</v>
      </c>
      <c r="M8" s="35" t="s">
        <v>39</v>
      </c>
      <c r="N8" s="12">
        <v>70893</v>
      </c>
      <c r="O8" s="12">
        <v>73539</v>
      </c>
      <c r="Q8" t="s">
        <v>90</v>
      </c>
      <c r="R8" s="35">
        <v>19</v>
      </c>
      <c r="S8" s="12">
        <v>24444</v>
      </c>
      <c r="T8" s="12">
        <v>30506</v>
      </c>
      <c r="V8" t="s">
        <v>62</v>
      </c>
      <c r="W8" s="35" t="s">
        <v>39</v>
      </c>
      <c r="X8" s="12">
        <v>70893</v>
      </c>
      <c r="Y8" s="12">
        <v>73539</v>
      </c>
      <c r="AA8" t="s">
        <v>51</v>
      </c>
      <c r="AB8" s="35"/>
      <c r="AC8" s="12">
        <v>1017</v>
      </c>
      <c r="AD8" s="12">
        <v>1030</v>
      </c>
      <c r="AF8" t="s">
        <v>62</v>
      </c>
      <c r="AG8" s="35" t="s">
        <v>39</v>
      </c>
      <c r="AH8" s="12">
        <v>70893</v>
      </c>
      <c r="AI8" s="12">
        <v>73539</v>
      </c>
      <c r="AK8" t="s">
        <v>51</v>
      </c>
      <c r="AL8" s="35"/>
      <c r="AM8" s="12">
        <v>1017</v>
      </c>
      <c r="AN8" s="12">
        <v>1030</v>
      </c>
    </row>
    <row r="9" spans="1:40" x14ac:dyDescent="0.2">
      <c r="A9" s="529"/>
      <c r="B9" t="s">
        <v>40</v>
      </c>
      <c r="C9" s="35">
        <v>11</v>
      </c>
      <c r="D9" s="12">
        <v>165283</v>
      </c>
      <c r="E9" s="12">
        <v>119601</v>
      </c>
      <c r="G9" t="s">
        <v>90</v>
      </c>
      <c r="H9" s="35">
        <v>19</v>
      </c>
      <c r="I9" s="12">
        <v>24444</v>
      </c>
      <c r="J9" s="12">
        <v>30506</v>
      </c>
      <c r="L9" t="s">
        <v>40</v>
      </c>
      <c r="M9" s="35">
        <v>11</v>
      </c>
      <c r="N9" s="12">
        <v>165283</v>
      </c>
      <c r="O9" s="12">
        <v>119601</v>
      </c>
      <c r="Q9" t="s">
        <v>52</v>
      </c>
      <c r="R9" s="35">
        <v>20</v>
      </c>
      <c r="S9" s="12">
        <v>60373</v>
      </c>
      <c r="T9" s="12">
        <v>60373</v>
      </c>
      <c r="V9" t="s">
        <v>40</v>
      </c>
      <c r="W9" s="35">
        <v>11</v>
      </c>
      <c r="X9" s="12">
        <v>165283</v>
      </c>
      <c r="Y9" s="12">
        <v>119601</v>
      </c>
      <c r="AA9" t="s">
        <v>53</v>
      </c>
      <c r="AB9" s="35">
        <v>16</v>
      </c>
      <c r="AC9" s="12">
        <v>1092288</v>
      </c>
      <c r="AD9" s="12">
        <v>1100293</v>
      </c>
      <c r="AF9" t="s">
        <v>40</v>
      </c>
      <c r="AG9" s="35">
        <v>11</v>
      </c>
      <c r="AH9" s="12">
        <v>165283</v>
      </c>
      <c r="AI9" s="12">
        <v>119601</v>
      </c>
      <c r="AK9" t="s">
        <v>53</v>
      </c>
      <c r="AL9" s="35">
        <v>16</v>
      </c>
      <c r="AM9" s="12">
        <v>1092288</v>
      </c>
      <c r="AN9" s="12">
        <v>1100293</v>
      </c>
    </row>
    <row r="10" spans="1:40" x14ac:dyDescent="0.2">
      <c r="A10" s="529"/>
      <c r="B10" s="13" t="s">
        <v>41</v>
      </c>
      <c r="C10" s="34"/>
      <c r="D10" s="14">
        <v>1099640</v>
      </c>
      <c r="E10" s="14">
        <v>1025674</v>
      </c>
      <c r="G10" t="s">
        <v>52</v>
      </c>
      <c r="H10" s="35">
        <v>20</v>
      </c>
      <c r="I10" s="12">
        <v>60373</v>
      </c>
      <c r="J10" s="12">
        <v>60373</v>
      </c>
      <c r="L10" s="9" t="s">
        <v>141</v>
      </c>
      <c r="M10" s="37"/>
      <c r="N10" s="21">
        <f>SUM(N4:N9)</f>
        <v>1099640</v>
      </c>
      <c r="O10" s="21">
        <f>SUM(O4:O9)</f>
        <v>1025674</v>
      </c>
      <c r="Q10" t="s">
        <v>92</v>
      </c>
      <c r="R10" s="35"/>
      <c r="S10" s="12">
        <v>3105</v>
      </c>
      <c r="T10" s="12">
        <v>17810</v>
      </c>
      <c r="V10" s="31" t="s">
        <v>90</v>
      </c>
      <c r="W10" s="35">
        <v>19</v>
      </c>
      <c r="X10" s="12">
        <v>24444</v>
      </c>
      <c r="Y10" s="12">
        <v>30506</v>
      </c>
      <c r="AA10" t="s">
        <v>55</v>
      </c>
      <c r="AB10" s="35">
        <v>16</v>
      </c>
      <c r="AC10" s="12">
        <v>1161043</v>
      </c>
      <c r="AD10" s="12">
        <v>674014</v>
      </c>
      <c r="AF10" s="31" t="s">
        <v>90</v>
      </c>
      <c r="AG10" s="35">
        <v>19</v>
      </c>
      <c r="AH10" s="12">
        <v>24444</v>
      </c>
      <c r="AI10" s="12">
        <v>30506</v>
      </c>
      <c r="AK10" t="s">
        <v>55</v>
      </c>
      <c r="AL10" s="35">
        <v>16</v>
      </c>
      <c r="AM10" s="12">
        <v>1161043</v>
      </c>
      <c r="AN10" s="12">
        <v>674014</v>
      </c>
    </row>
    <row r="11" spans="1:40" x14ac:dyDescent="0.2">
      <c r="A11" s="529"/>
      <c r="C11" s="35"/>
      <c r="D11" s="12"/>
      <c r="E11" s="15"/>
      <c r="G11" t="s">
        <v>92</v>
      </c>
      <c r="H11" s="35"/>
      <c r="I11" s="12">
        <v>3105</v>
      </c>
      <c r="J11" s="12">
        <v>17810</v>
      </c>
      <c r="M11" s="37"/>
      <c r="Q11" t="s">
        <v>113</v>
      </c>
      <c r="R11" s="35">
        <v>10</v>
      </c>
      <c r="S11" s="12">
        <v>35263</v>
      </c>
      <c r="T11" s="12">
        <v>26738</v>
      </c>
      <c r="V11" s="31" t="s">
        <v>52</v>
      </c>
      <c r="W11" s="35">
        <v>20</v>
      </c>
      <c r="X11" s="12">
        <v>60373</v>
      </c>
      <c r="Y11" s="12">
        <v>60373</v>
      </c>
      <c r="AA11" t="s">
        <v>110</v>
      </c>
      <c r="AB11" s="35">
        <v>26</v>
      </c>
      <c r="AC11" s="12">
        <v>0</v>
      </c>
      <c r="AD11" s="12">
        <v>694121</v>
      </c>
      <c r="AF11" s="31" t="s">
        <v>52</v>
      </c>
      <c r="AG11" s="35">
        <v>20</v>
      </c>
      <c r="AH11" s="12">
        <v>60373</v>
      </c>
      <c r="AI11" s="12">
        <v>60373</v>
      </c>
      <c r="AK11" t="s">
        <v>110</v>
      </c>
      <c r="AL11" s="35">
        <v>26</v>
      </c>
      <c r="AM11" s="12">
        <v>0</v>
      </c>
      <c r="AN11" s="12">
        <v>694121</v>
      </c>
    </row>
    <row r="12" spans="1:40" x14ac:dyDescent="0.2">
      <c r="A12" s="529"/>
      <c r="B12" t="s">
        <v>42</v>
      </c>
      <c r="C12" s="35">
        <v>5</v>
      </c>
      <c r="D12" s="12">
        <v>3636663</v>
      </c>
      <c r="E12" s="12">
        <v>3940793</v>
      </c>
      <c r="G12" t="s">
        <v>113</v>
      </c>
      <c r="H12" s="35">
        <v>10</v>
      </c>
      <c r="I12" s="12">
        <v>35263</v>
      </c>
      <c r="J12" s="12">
        <v>26738</v>
      </c>
      <c r="L12" t="s">
        <v>79</v>
      </c>
      <c r="M12" s="35">
        <v>12</v>
      </c>
      <c r="N12" s="12">
        <v>1178686</v>
      </c>
      <c r="O12" s="12">
        <v>885333</v>
      </c>
      <c r="Q12" s="9" t="s">
        <v>143</v>
      </c>
      <c r="R12" s="37"/>
      <c r="S12" s="21">
        <f>SUM(S8:S11)</f>
        <v>123185</v>
      </c>
      <c r="T12" s="21">
        <f>SUM(T8:T11)</f>
        <v>135427</v>
      </c>
      <c r="V12" s="31" t="s">
        <v>92</v>
      </c>
      <c r="W12" s="35"/>
      <c r="X12" s="12">
        <v>3105</v>
      </c>
      <c r="Y12" s="12">
        <v>17810</v>
      </c>
      <c r="AA12" t="s">
        <v>150</v>
      </c>
      <c r="AB12" s="35" t="s">
        <v>59</v>
      </c>
      <c r="AC12" s="12">
        <v>58044</v>
      </c>
      <c r="AD12" s="12">
        <v>0</v>
      </c>
      <c r="AF12" s="31" t="s">
        <v>92</v>
      </c>
      <c r="AG12" s="35"/>
      <c r="AH12" s="12">
        <v>3105</v>
      </c>
      <c r="AI12" s="12">
        <v>17810</v>
      </c>
      <c r="AK12" t="s">
        <v>150</v>
      </c>
      <c r="AL12" s="35" t="s">
        <v>59</v>
      </c>
      <c r="AM12" s="12">
        <v>58044</v>
      </c>
      <c r="AN12" s="12">
        <v>0</v>
      </c>
    </row>
    <row r="13" spans="1:40" x14ac:dyDescent="0.2">
      <c r="A13" s="529"/>
      <c r="B13" t="s">
        <v>43</v>
      </c>
      <c r="C13" s="35">
        <v>11</v>
      </c>
      <c r="D13" s="12">
        <v>82220</v>
      </c>
      <c r="E13" s="12">
        <v>70466</v>
      </c>
      <c r="G13" t="s">
        <v>53</v>
      </c>
      <c r="H13" s="35">
        <v>16</v>
      </c>
      <c r="I13" s="12">
        <v>1092288</v>
      </c>
      <c r="J13" s="12">
        <v>1100293</v>
      </c>
      <c r="L13" t="s">
        <v>148</v>
      </c>
      <c r="M13" s="35" t="s">
        <v>46</v>
      </c>
      <c r="N13" s="12">
        <v>864171</v>
      </c>
      <c r="O13" s="12">
        <v>0</v>
      </c>
      <c r="R13" s="37"/>
      <c r="V13" s="31" t="s">
        <v>113</v>
      </c>
      <c r="W13" s="35">
        <v>10</v>
      </c>
      <c r="X13" s="12">
        <v>35263</v>
      </c>
      <c r="Y13" s="12">
        <v>26738</v>
      </c>
      <c r="AA13" s="9" t="s">
        <v>144</v>
      </c>
      <c r="AB13" s="37"/>
      <c r="AC13" s="21">
        <f>SUM(AC8:AC12)</f>
        <v>2312392</v>
      </c>
      <c r="AD13" s="21">
        <f>SUM(AD8:AD12)</f>
        <v>2469458</v>
      </c>
      <c r="AF13" s="31" t="s">
        <v>113</v>
      </c>
      <c r="AG13" s="35">
        <v>10</v>
      </c>
      <c r="AH13" s="12">
        <v>35263</v>
      </c>
      <c r="AI13" s="12">
        <v>26738</v>
      </c>
      <c r="AK13" s="31" t="s">
        <v>79</v>
      </c>
      <c r="AL13" s="35">
        <v>12</v>
      </c>
      <c r="AM13" s="12">
        <v>1178686</v>
      </c>
      <c r="AN13" s="12">
        <v>885333</v>
      </c>
    </row>
    <row r="14" spans="1:40" x14ac:dyDescent="0.2">
      <c r="A14" s="529"/>
      <c r="B14" t="s">
        <v>44</v>
      </c>
      <c r="C14" s="35">
        <v>11</v>
      </c>
      <c r="D14" s="12">
        <v>51052</v>
      </c>
      <c r="E14" s="12">
        <v>48536</v>
      </c>
      <c r="G14" s="13" t="s">
        <v>54</v>
      </c>
      <c r="H14" s="34"/>
      <c r="I14" s="14">
        <v>1216490</v>
      </c>
      <c r="J14" s="14">
        <v>1236750</v>
      </c>
      <c r="K14" s="12"/>
      <c r="L14" s="9" t="s">
        <v>140</v>
      </c>
      <c r="M14" s="37"/>
      <c r="N14" s="21">
        <f>SUM(N12:N13)</f>
        <v>2042857</v>
      </c>
      <c r="O14" s="21">
        <f>SUM(O12:O13)</f>
        <v>885333</v>
      </c>
      <c r="Q14" t="s">
        <v>51</v>
      </c>
      <c r="R14" s="35"/>
      <c r="S14" s="12">
        <v>1017</v>
      </c>
      <c r="T14" s="12">
        <v>1030</v>
      </c>
      <c r="V14" s="22" t="s">
        <v>152</v>
      </c>
      <c r="W14" s="40"/>
      <c r="X14" s="21">
        <f>X4+X5+X6+X7+X8+X9-X10-X11-X12-X13</f>
        <v>976455</v>
      </c>
      <c r="Y14" s="21">
        <f>Y4+Y5+Y6+Y7+Y8+Y9-Y10-Y11-Y12-Y13</f>
        <v>890247</v>
      </c>
      <c r="AF14" s="22" t="s">
        <v>152</v>
      </c>
      <c r="AG14" s="40"/>
      <c r="AH14" s="21">
        <f>AH4+AH5+AH6+AH7+AH8+AH9-AH10-AH11-AH12-AH13</f>
        <v>976455</v>
      </c>
      <c r="AI14" s="21">
        <f>AI4+AI5+AI6+AI7+AI8+AI9-AI10-AI11-AI12-AI13</f>
        <v>890247</v>
      </c>
      <c r="AK14" s="31" t="s">
        <v>148</v>
      </c>
      <c r="AL14" s="35" t="s">
        <v>46</v>
      </c>
      <c r="AM14" s="12">
        <v>864171</v>
      </c>
      <c r="AN14" s="12">
        <v>0</v>
      </c>
    </row>
    <row r="15" spans="1:40" x14ac:dyDescent="0.2">
      <c r="A15" s="529"/>
      <c r="B15" t="s">
        <v>45</v>
      </c>
      <c r="C15" s="35">
        <v>12</v>
      </c>
      <c r="D15" s="12">
        <v>1178686</v>
      </c>
      <c r="E15" s="12">
        <v>885333</v>
      </c>
      <c r="H15" s="35"/>
      <c r="I15" s="15"/>
      <c r="J15" s="15"/>
      <c r="M15" s="37"/>
      <c r="Q15" t="s">
        <v>53</v>
      </c>
      <c r="R15" s="35">
        <v>16</v>
      </c>
      <c r="S15" s="12">
        <v>1092288</v>
      </c>
      <c r="T15" s="12">
        <v>1100293</v>
      </c>
      <c r="V15" t="s">
        <v>42</v>
      </c>
      <c r="W15" s="35">
        <v>5</v>
      </c>
      <c r="X15" s="12">
        <v>3636663</v>
      </c>
      <c r="Y15" s="12">
        <v>3940793</v>
      </c>
      <c r="AA15" s="9" t="s">
        <v>161</v>
      </c>
      <c r="AC15" s="21">
        <f>AC6+AC13</f>
        <v>5694476</v>
      </c>
      <c r="AD15" s="21">
        <f>AD6+AD13</f>
        <v>4907273</v>
      </c>
      <c r="AF15" t="s">
        <v>42</v>
      </c>
      <c r="AG15" s="35">
        <v>5</v>
      </c>
      <c r="AH15" s="12">
        <v>3636663</v>
      </c>
      <c r="AI15" s="12">
        <v>3940793</v>
      </c>
      <c r="AK15" s="9" t="s">
        <v>159</v>
      </c>
      <c r="AL15" s="40"/>
      <c r="AM15" s="21">
        <f>AM8+AM9+AM10+AM11+AM12-AM13-AM14</f>
        <v>269535</v>
      </c>
      <c r="AN15" s="21">
        <f>AN8+AN9+AN10+AN11+AN12-AN13-AN14</f>
        <v>1584125</v>
      </c>
    </row>
    <row r="16" spans="1:40" x14ac:dyDescent="0.2">
      <c r="A16" s="529"/>
      <c r="B16" t="s">
        <v>148</v>
      </c>
      <c r="C16" s="35" t="s">
        <v>46</v>
      </c>
      <c r="D16" s="12">
        <v>864171</v>
      </c>
      <c r="E16" s="12">
        <v>0</v>
      </c>
      <c r="G16" t="s">
        <v>115</v>
      </c>
      <c r="H16" s="35">
        <v>10</v>
      </c>
      <c r="I16" s="12">
        <v>7922</v>
      </c>
      <c r="J16" s="12">
        <v>8524</v>
      </c>
      <c r="L16" t="s">
        <v>42</v>
      </c>
      <c r="M16" s="35">
        <v>5</v>
      </c>
      <c r="N16" s="12">
        <v>3636663</v>
      </c>
      <c r="O16" s="12">
        <v>3940793</v>
      </c>
      <c r="Q16" t="s">
        <v>55</v>
      </c>
      <c r="R16" s="35">
        <v>16</v>
      </c>
      <c r="S16" s="12">
        <v>1161043</v>
      </c>
      <c r="T16" s="12">
        <v>674014</v>
      </c>
      <c r="V16" t="s">
        <v>43</v>
      </c>
      <c r="W16" s="35">
        <v>11</v>
      </c>
      <c r="X16" s="12">
        <v>82220</v>
      </c>
      <c r="Y16" s="12">
        <v>70466</v>
      </c>
      <c r="AF16" t="s">
        <v>43</v>
      </c>
      <c r="AG16" s="35">
        <v>11</v>
      </c>
      <c r="AH16" s="12">
        <v>82220</v>
      </c>
      <c r="AI16" s="12">
        <v>70466</v>
      </c>
      <c r="AL16" s="37"/>
    </row>
    <row r="17" spans="1:40" x14ac:dyDescent="0.2">
      <c r="A17" s="529"/>
      <c r="B17" s="13" t="s">
        <v>47</v>
      </c>
      <c r="C17" s="34"/>
      <c r="D17" s="14">
        <v>5812792</v>
      </c>
      <c r="E17" s="14">
        <v>4945128</v>
      </c>
      <c r="G17" t="s">
        <v>55</v>
      </c>
      <c r="H17" s="35">
        <v>16</v>
      </c>
      <c r="I17" s="12">
        <v>1161043</v>
      </c>
      <c r="J17" s="12">
        <v>674014</v>
      </c>
      <c r="L17" t="s">
        <v>43</v>
      </c>
      <c r="M17" s="35">
        <v>11</v>
      </c>
      <c r="N17" s="12">
        <v>82220</v>
      </c>
      <c r="O17" s="12">
        <v>70466</v>
      </c>
      <c r="Q17" t="s">
        <v>110</v>
      </c>
      <c r="R17" s="35">
        <v>26</v>
      </c>
      <c r="S17" s="12">
        <v>0</v>
      </c>
      <c r="T17" s="12">
        <v>694121</v>
      </c>
      <c r="V17" t="s">
        <v>44</v>
      </c>
      <c r="W17" s="35">
        <v>11</v>
      </c>
      <c r="X17" s="12">
        <v>51052</v>
      </c>
      <c r="Y17" s="12">
        <v>48536</v>
      </c>
      <c r="AF17" t="s">
        <v>44</v>
      </c>
      <c r="AG17" s="35">
        <v>11</v>
      </c>
      <c r="AH17" s="12">
        <v>51052</v>
      </c>
      <c r="AI17" s="12">
        <v>48536</v>
      </c>
      <c r="AK17" s="9" t="s">
        <v>160</v>
      </c>
      <c r="AL17" s="9"/>
      <c r="AM17" s="21">
        <f>AM6+AM15</f>
        <v>3651619</v>
      </c>
      <c r="AN17" s="21">
        <f>AN6+AN15</f>
        <v>4021940</v>
      </c>
    </row>
    <row r="18" spans="1:40" x14ac:dyDescent="0.2">
      <c r="A18" s="529"/>
      <c r="C18" s="35"/>
      <c r="D18" s="12"/>
      <c r="E18" s="15"/>
      <c r="G18" t="s">
        <v>110</v>
      </c>
      <c r="H18" s="35">
        <v>26</v>
      </c>
      <c r="I18" s="12">
        <v>0</v>
      </c>
      <c r="J18" s="12">
        <v>694121</v>
      </c>
      <c r="L18" t="s">
        <v>44</v>
      </c>
      <c r="M18" s="35">
        <v>11</v>
      </c>
      <c r="N18" s="12">
        <v>51052</v>
      </c>
      <c r="O18" s="12">
        <v>48536</v>
      </c>
      <c r="Q18" t="s">
        <v>150</v>
      </c>
      <c r="R18" s="35" t="s">
        <v>59</v>
      </c>
      <c r="S18" s="12">
        <v>58044</v>
      </c>
      <c r="T18" s="12">
        <v>0</v>
      </c>
      <c r="V18" s="31" t="s">
        <v>115</v>
      </c>
      <c r="W18" s="35">
        <v>10</v>
      </c>
      <c r="X18" s="12">
        <v>7922</v>
      </c>
      <c r="Y18" s="12">
        <v>8524</v>
      </c>
      <c r="AF18" s="31" t="s">
        <v>115</v>
      </c>
      <c r="AG18" s="35">
        <v>10</v>
      </c>
      <c r="AH18" s="12">
        <v>7922</v>
      </c>
      <c r="AI18" s="12">
        <v>8524</v>
      </c>
    </row>
    <row r="19" spans="1:40" x14ac:dyDescent="0.2">
      <c r="A19" s="529"/>
      <c r="B19" s="16" t="s">
        <v>48</v>
      </c>
      <c r="C19" s="36"/>
      <c r="D19" s="15">
        <f>D10+D17</f>
        <v>6912432</v>
      </c>
      <c r="E19" s="15">
        <v>5970802</v>
      </c>
      <c r="G19" t="s">
        <v>56</v>
      </c>
      <c r="H19" s="35">
        <v>17</v>
      </c>
      <c r="I19" s="12">
        <v>167633</v>
      </c>
      <c r="J19" s="12">
        <v>137495</v>
      </c>
      <c r="L19" s="9" t="s">
        <v>142</v>
      </c>
      <c r="M19" s="9"/>
      <c r="N19" s="21">
        <f>SUM(N16:N18)</f>
        <v>3769935</v>
      </c>
      <c r="O19" s="21">
        <f>SUM(O16:O18)</f>
        <v>4059795</v>
      </c>
      <c r="Q19" s="9" t="s">
        <v>144</v>
      </c>
      <c r="R19" s="37"/>
      <c r="S19" s="21">
        <f>SUM(S14:S18)</f>
        <v>2312392</v>
      </c>
      <c r="T19" s="21">
        <f>SUM(T14:T18)</f>
        <v>2469458</v>
      </c>
      <c r="V19" s="31" t="s">
        <v>56</v>
      </c>
      <c r="W19" s="35">
        <v>17</v>
      </c>
      <c r="X19" s="12">
        <v>167633</v>
      </c>
      <c r="Y19" s="12">
        <v>137495</v>
      </c>
      <c r="AF19" s="31" t="s">
        <v>56</v>
      </c>
      <c r="AG19" s="35">
        <v>17</v>
      </c>
      <c r="AH19" s="12">
        <v>167633</v>
      </c>
      <c r="AI19" s="12">
        <v>137495</v>
      </c>
    </row>
    <row r="20" spans="1:40" x14ac:dyDescent="0.2">
      <c r="C20" s="37"/>
      <c r="G20" t="s">
        <v>57</v>
      </c>
      <c r="H20" s="35">
        <v>19</v>
      </c>
      <c r="I20" s="12">
        <v>208488</v>
      </c>
      <c r="J20" s="12">
        <v>130994</v>
      </c>
      <c r="R20" s="37"/>
      <c r="V20" s="31" t="s">
        <v>57</v>
      </c>
      <c r="W20" s="35">
        <v>19</v>
      </c>
      <c r="X20" s="12">
        <v>208488</v>
      </c>
      <c r="Y20" s="12">
        <v>130994</v>
      </c>
      <c r="AF20" s="31" t="s">
        <v>57</v>
      </c>
      <c r="AG20" s="35">
        <v>19</v>
      </c>
      <c r="AH20" s="12">
        <v>208488</v>
      </c>
      <c r="AI20" s="12">
        <v>130994</v>
      </c>
    </row>
    <row r="21" spans="1:40" x14ac:dyDescent="0.2">
      <c r="C21" s="37"/>
      <c r="G21" t="s">
        <v>58</v>
      </c>
      <c r="H21" s="35">
        <v>17</v>
      </c>
      <c r="I21" s="12">
        <v>710728</v>
      </c>
      <c r="J21" s="12">
        <v>651089</v>
      </c>
      <c r="L21" s="9" t="s">
        <v>147</v>
      </c>
      <c r="N21" s="21">
        <f>N10+N14+N19</f>
        <v>6912432</v>
      </c>
      <c r="O21" s="21">
        <f>O10+O14+O19</f>
        <v>5970802</v>
      </c>
      <c r="Q21" t="s">
        <v>115</v>
      </c>
      <c r="R21" s="35">
        <v>10</v>
      </c>
      <c r="S21" s="12">
        <v>7922</v>
      </c>
      <c r="T21" s="12">
        <v>8524</v>
      </c>
      <c r="V21" s="31" t="s">
        <v>58</v>
      </c>
      <c r="W21" s="35">
        <v>17</v>
      </c>
      <c r="X21" s="12">
        <v>710728</v>
      </c>
      <c r="Y21" s="12">
        <v>651089</v>
      </c>
      <c r="AF21" s="31" t="s">
        <v>58</v>
      </c>
      <c r="AG21" s="35">
        <v>17</v>
      </c>
      <c r="AH21" s="12">
        <v>710728</v>
      </c>
      <c r="AI21" s="12">
        <v>651089</v>
      </c>
    </row>
    <row r="22" spans="1:40" x14ac:dyDescent="0.2">
      <c r="G22" t="s">
        <v>150</v>
      </c>
      <c r="H22" s="35" t="s">
        <v>59</v>
      </c>
      <c r="I22" s="12">
        <v>58044</v>
      </c>
      <c r="J22" s="12">
        <v>0</v>
      </c>
      <c r="Q22" t="s">
        <v>56</v>
      </c>
      <c r="R22" s="35">
        <v>17</v>
      </c>
      <c r="S22" s="12">
        <v>167633</v>
      </c>
      <c r="T22" s="12">
        <v>137495</v>
      </c>
      <c r="V22" s="22" t="s">
        <v>153</v>
      </c>
      <c r="W22" s="37"/>
      <c r="X22" s="21">
        <f>X15+X16+X17-X18-X19-X20-X21</f>
        <v>2675164</v>
      </c>
      <c r="Y22" s="21">
        <f>Y15+Y16+Y17-Y18-Y19-Y20-Y21</f>
        <v>3131693</v>
      </c>
      <c r="AF22" s="22" t="s">
        <v>153</v>
      </c>
      <c r="AG22" s="37"/>
      <c r="AH22" s="21">
        <f>AH15+AH16+AH17-AH18-AH19-AH20-AH21</f>
        <v>2675164</v>
      </c>
      <c r="AI22" s="21">
        <f>AI15+AI16+AI17-AI18-AI19-AI20-AI21</f>
        <v>3131693</v>
      </c>
    </row>
    <row r="23" spans="1:40" x14ac:dyDescent="0.2">
      <c r="G23" s="13" t="s">
        <v>60</v>
      </c>
      <c r="H23" s="38"/>
      <c r="I23" s="14">
        <v>2313858</v>
      </c>
      <c r="J23" s="14">
        <v>2296237</v>
      </c>
      <c r="K23" s="12"/>
      <c r="Q23" t="s">
        <v>57</v>
      </c>
      <c r="R23" s="35">
        <v>19</v>
      </c>
      <c r="S23" s="12">
        <v>208488</v>
      </c>
      <c r="T23" s="12">
        <v>130994</v>
      </c>
      <c r="V23" s="22" t="s">
        <v>154</v>
      </c>
      <c r="W23" s="37"/>
      <c r="X23" s="21">
        <f>X14+X22</f>
        <v>3651619</v>
      </c>
      <c r="Y23" s="21">
        <f>Y14+Y22</f>
        <v>4021940</v>
      </c>
      <c r="AF23" s="22"/>
      <c r="AH23" s="21"/>
      <c r="AI23" s="21"/>
    </row>
    <row r="24" spans="1:40" x14ac:dyDescent="0.2">
      <c r="I24" s="15"/>
      <c r="J24" s="15"/>
      <c r="Q24" t="s">
        <v>58</v>
      </c>
      <c r="R24" s="35">
        <v>17</v>
      </c>
      <c r="S24" s="12">
        <v>710728</v>
      </c>
      <c r="T24" s="12">
        <v>651089</v>
      </c>
      <c r="W24" s="37"/>
      <c r="AF24" s="22" t="s">
        <v>154</v>
      </c>
      <c r="AH24" s="21">
        <f>AH14+AH22</f>
        <v>3651619</v>
      </c>
      <c r="AI24" s="21">
        <f>AI14+AI22</f>
        <v>4021940</v>
      </c>
    </row>
    <row r="25" spans="1:40" x14ac:dyDescent="0.2">
      <c r="G25" s="16" t="s">
        <v>61</v>
      </c>
      <c r="H25" s="16"/>
      <c r="I25" s="15">
        <f>I6+I14+I23</f>
        <v>6912432</v>
      </c>
      <c r="J25" s="15">
        <v>5970802</v>
      </c>
      <c r="Q25" s="9" t="s">
        <v>145</v>
      </c>
      <c r="S25" s="21">
        <f>SUM(S21:S24)</f>
        <v>1094771</v>
      </c>
      <c r="T25" s="21">
        <f>SUM(T21:T24)</f>
        <v>928102</v>
      </c>
      <c r="V25" t="s">
        <v>79</v>
      </c>
      <c r="W25" s="35">
        <v>12</v>
      </c>
      <c r="X25" s="12">
        <v>1178686</v>
      </c>
      <c r="Y25" s="12">
        <v>885333</v>
      </c>
    </row>
    <row r="26" spans="1:40" x14ac:dyDescent="0.2">
      <c r="B26" s="558"/>
      <c r="C26" s="558"/>
      <c r="D26" s="558"/>
      <c r="E26" s="558"/>
      <c r="F26" s="558"/>
      <c r="G26" s="558"/>
      <c r="H26" s="558"/>
      <c r="I26" s="558"/>
      <c r="J26" s="558"/>
      <c r="V26" t="s">
        <v>148</v>
      </c>
      <c r="W26" s="35" t="s">
        <v>46</v>
      </c>
      <c r="X26" s="12">
        <v>864171</v>
      </c>
      <c r="Y26" s="12">
        <v>0</v>
      </c>
    </row>
    <row r="27" spans="1:40" x14ac:dyDescent="0.2">
      <c r="J27" s="12"/>
      <c r="Q27" s="9" t="s">
        <v>146</v>
      </c>
      <c r="S27" s="21">
        <f>S6+S12+S19+S25</f>
        <v>6912432</v>
      </c>
      <c r="T27" s="21">
        <f>T6+T12+T19+T25</f>
        <v>5970802</v>
      </c>
      <c r="V27" s="9" t="s">
        <v>140</v>
      </c>
      <c r="X27" s="21">
        <f>SUM(X25:X26)</f>
        <v>2042857</v>
      </c>
      <c r="Y27" s="21">
        <f>SUM(Y25:Y26)</f>
        <v>885333</v>
      </c>
    </row>
    <row r="28" spans="1:40" x14ac:dyDescent="0.2">
      <c r="I28" s="145"/>
    </row>
    <row r="29" spans="1:40" x14ac:dyDescent="0.2">
      <c r="I29" s="144"/>
      <c r="V29" s="9" t="s">
        <v>155</v>
      </c>
      <c r="W29" s="9"/>
      <c r="X29" s="21">
        <f>X23+X27</f>
        <v>5694476</v>
      </c>
      <c r="Y29" s="21">
        <f>Y23+Y27</f>
        <v>4907273</v>
      </c>
    </row>
    <row r="35" spans="1:30" x14ac:dyDescent="0.2">
      <c r="A35" s="529" t="s">
        <v>88</v>
      </c>
      <c r="B35" s="559" t="s">
        <v>89</v>
      </c>
      <c r="C35" s="559"/>
      <c r="D35" s="559"/>
      <c r="E35" s="559"/>
      <c r="F35" s="559"/>
      <c r="G35" s="559"/>
      <c r="H35" s="559"/>
      <c r="I35" s="559"/>
      <c r="J35" s="559"/>
      <c r="L35" s="22"/>
      <c r="M35" s="22"/>
      <c r="N35" s="22"/>
      <c r="O35" s="22"/>
      <c r="P35" s="22"/>
      <c r="Q35" s="22"/>
      <c r="R35" s="22"/>
      <c r="S35" s="22"/>
      <c r="T35" s="22"/>
      <c r="W35" s="10"/>
    </row>
    <row r="36" spans="1:30" x14ac:dyDescent="0.2">
      <c r="A36" s="529"/>
      <c r="C36" s="35" t="s">
        <v>2</v>
      </c>
      <c r="D36">
        <v>2019</v>
      </c>
      <c r="E36">
        <v>2020</v>
      </c>
      <c r="H36" s="35" t="s">
        <v>2</v>
      </c>
      <c r="I36">
        <v>2019</v>
      </c>
      <c r="J36">
        <v>2020</v>
      </c>
      <c r="M36" s="10"/>
      <c r="R36" s="10"/>
      <c r="V36" s="12"/>
      <c r="W36" s="12"/>
      <c r="X36" s="12"/>
      <c r="Y36" s="12"/>
      <c r="AB36" s="10"/>
    </row>
    <row r="37" spans="1:30" x14ac:dyDescent="0.2">
      <c r="A37" s="529"/>
      <c r="B37" t="s">
        <v>35</v>
      </c>
      <c r="C37" s="35">
        <v>9</v>
      </c>
      <c r="D37" s="12">
        <v>383376</v>
      </c>
      <c r="E37" s="12">
        <v>383376</v>
      </c>
      <c r="G37" t="s">
        <v>66</v>
      </c>
      <c r="H37" s="35">
        <v>13</v>
      </c>
      <c r="I37" s="12">
        <v>3374218</v>
      </c>
      <c r="J37" s="12">
        <v>2430023</v>
      </c>
      <c r="M37" s="12"/>
      <c r="N37" s="12"/>
      <c r="O37" s="12"/>
      <c r="P37" s="12"/>
      <c r="Q37" s="12"/>
      <c r="R37" s="12"/>
      <c r="S37" s="12"/>
      <c r="T37" s="12"/>
      <c r="U37" s="12"/>
      <c r="V37" s="12"/>
      <c r="W37" s="12"/>
      <c r="X37" s="12"/>
      <c r="Y37" s="12"/>
      <c r="Z37" s="12"/>
      <c r="AA37" s="12"/>
      <c r="AB37" s="12"/>
      <c r="AC37" s="12"/>
      <c r="AD37" s="12"/>
    </row>
    <row r="38" spans="1:30" x14ac:dyDescent="0.2">
      <c r="A38" s="529"/>
      <c r="B38" t="s">
        <v>72</v>
      </c>
      <c r="C38" s="35">
        <v>10</v>
      </c>
      <c r="D38" s="12">
        <v>5588</v>
      </c>
      <c r="E38" s="12">
        <v>7332</v>
      </c>
      <c r="G38" s="19" t="s">
        <v>67</v>
      </c>
      <c r="H38" s="39"/>
      <c r="I38" s="20">
        <v>7866</v>
      </c>
      <c r="J38" s="20">
        <v>7792</v>
      </c>
      <c r="M38" s="12"/>
      <c r="N38" s="12"/>
      <c r="O38" s="12"/>
      <c r="P38" s="12"/>
      <c r="Q38" s="12"/>
      <c r="R38" s="12"/>
      <c r="S38" s="12"/>
      <c r="T38" s="12"/>
      <c r="U38" s="12"/>
      <c r="V38" s="12"/>
      <c r="W38" s="12"/>
      <c r="X38" s="12"/>
      <c r="Y38" s="12"/>
      <c r="Z38" s="12"/>
      <c r="AA38" s="12"/>
      <c r="AB38" s="12"/>
      <c r="AC38" s="12"/>
      <c r="AD38" s="12"/>
    </row>
    <row r="39" spans="1:30" x14ac:dyDescent="0.2">
      <c r="A39" s="529"/>
      <c r="B39" t="s">
        <v>73</v>
      </c>
      <c r="C39" s="35">
        <v>10</v>
      </c>
      <c r="D39" s="12">
        <v>44219</v>
      </c>
      <c r="E39" s="12">
        <v>34976</v>
      </c>
      <c r="G39" s="9" t="s">
        <v>68</v>
      </c>
      <c r="H39" s="36"/>
      <c r="I39" s="15">
        <v>3382084</v>
      </c>
      <c r="J39" s="15">
        <v>2437815</v>
      </c>
      <c r="M39" s="12"/>
      <c r="N39" s="12"/>
      <c r="O39" s="12"/>
      <c r="P39" s="12"/>
      <c r="Q39" s="12"/>
      <c r="R39" s="12"/>
      <c r="S39" s="12"/>
      <c r="T39" s="12"/>
      <c r="U39" s="12"/>
      <c r="V39" s="12"/>
      <c r="W39" s="12"/>
      <c r="X39" s="12"/>
      <c r="Y39" s="12"/>
      <c r="Z39" s="12"/>
      <c r="AA39" s="12"/>
      <c r="AB39" s="12"/>
      <c r="AC39" s="12"/>
      <c r="AD39" s="12"/>
    </row>
    <row r="40" spans="1:30" x14ac:dyDescent="0.2">
      <c r="A40" s="529"/>
      <c r="B40" t="s">
        <v>74</v>
      </c>
      <c r="C40" s="35">
        <v>24</v>
      </c>
      <c r="D40" s="12">
        <v>430281</v>
      </c>
      <c r="E40" s="12">
        <v>406850</v>
      </c>
      <c r="H40" s="35"/>
      <c r="I40" s="15"/>
      <c r="J40" s="15"/>
      <c r="M40" s="12"/>
      <c r="N40" s="12"/>
      <c r="O40" s="12"/>
      <c r="P40" s="12"/>
      <c r="Q40" s="12"/>
      <c r="R40" s="12"/>
      <c r="S40" s="12"/>
      <c r="T40" s="12"/>
      <c r="U40" s="12"/>
      <c r="V40" s="12"/>
      <c r="W40" s="12"/>
      <c r="X40" s="12"/>
      <c r="Y40" s="12"/>
      <c r="Z40" s="12"/>
      <c r="AA40" s="12"/>
      <c r="AB40" s="12"/>
      <c r="AC40" s="12"/>
      <c r="AD40" s="12"/>
    </row>
    <row r="41" spans="1:30" x14ac:dyDescent="0.2">
      <c r="A41" s="529"/>
      <c r="B41" t="s">
        <v>139</v>
      </c>
      <c r="C41" s="35" t="s">
        <v>39</v>
      </c>
      <c r="D41" s="12">
        <v>70893</v>
      </c>
      <c r="E41" s="12">
        <v>73539</v>
      </c>
      <c r="G41" t="s">
        <v>80</v>
      </c>
      <c r="H41" s="35"/>
      <c r="I41" s="12">
        <v>1017</v>
      </c>
      <c r="J41" s="12">
        <v>1030</v>
      </c>
      <c r="M41" s="12"/>
      <c r="N41" s="12"/>
      <c r="O41" s="12"/>
      <c r="P41" s="12"/>
      <c r="Q41" s="12"/>
      <c r="R41" s="12"/>
      <c r="S41" s="12"/>
      <c r="T41" s="12"/>
      <c r="U41" s="12"/>
      <c r="V41" s="12"/>
      <c r="W41" s="12"/>
      <c r="X41" s="12"/>
      <c r="Y41" s="12"/>
      <c r="Z41" s="12"/>
      <c r="AA41" s="12"/>
      <c r="AB41" s="12"/>
      <c r="AC41" s="12"/>
      <c r="AD41" s="12"/>
    </row>
    <row r="42" spans="1:30" x14ac:dyDescent="0.2">
      <c r="A42" s="529"/>
      <c r="B42" s="19" t="s">
        <v>75</v>
      </c>
      <c r="C42" s="39">
        <v>11</v>
      </c>
      <c r="D42" s="20">
        <v>165283</v>
      </c>
      <c r="E42" s="20">
        <v>119601</v>
      </c>
      <c r="G42" t="s">
        <v>116</v>
      </c>
      <c r="H42" s="35">
        <v>19</v>
      </c>
      <c r="I42" s="12">
        <v>24444</v>
      </c>
      <c r="J42" s="12">
        <v>30506</v>
      </c>
      <c r="M42" s="12"/>
      <c r="N42" s="12"/>
      <c r="O42" s="12"/>
      <c r="P42" s="12"/>
      <c r="Q42" s="12"/>
      <c r="R42" s="12"/>
      <c r="S42" s="12"/>
      <c r="T42" s="12"/>
      <c r="U42" s="12"/>
      <c r="V42" s="12"/>
      <c r="W42" s="12"/>
      <c r="X42" s="12"/>
      <c r="Y42" s="12"/>
      <c r="Z42" s="12"/>
      <c r="AA42" s="12"/>
      <c r="AB42" s="12"/>
      <c r="AC42" s="12"/>
      <c r="AD42" s="12"/>
    </row>
    <row r="43" spans="1:30" x14ac:dyDescent="0.2">
      <c r="A43" s="529"/>
      <c r="B43" s="9" t="s">
        <v>63</v>
      </c>
      <c r="C43" s="36"/>
      <c r="D43" s="15">
        <v>1099640</v>
      </c>
      <c r="E43" s="15">
        <v>1025674</v>
      </c>
      <c r="G43" t="s">
        <v>81</v>
      </c>
      <c r="H43" s="35">
        <v>20</v>
      </c>
      <c r="I43" s="12">
        <v>60373</v>
      </c>
      <c r="J43" s="12">
        <v>60737</v>
      </c>
      <c r="M43" s="12"/>
      <c r="N43" s="12"/>
      <c r="O43" s="12"/>
      <c r="P43" s="12"/>
      <c r="Q43" s="12"/>
      <c r="R43" s="12"/>
      <c r="S43" s="12"/>
      <c r="T43" s="12"/>
      <c r="U43" s="12"/>
      <c r="V43" s="12"/>
      <c r="W43" s="12"/>
      <c r="X43" s="12"/>
      <c r="Y43" s="12"/>
      <c r="Z43" s="12"/>
      <c r="AA43" s="12"/>
      <c r="AB43" s="12"/>
      <c r="AC43" s="12"/>
      <c r="AD43" s="12"/>
    </row>
    <row r="44" spans="1:30" x14ac:dyDescent="0.2">
      <c r="A44" s="529"/>
      <c r="C44" s="37"/>
      <c r="D44" s="12"/>
      <c r="E44" s="12"/>
      <c r="G44" t="s">
        <v>82</v>
      </c>
      <c r="H44" s="35"/>
      <c r="I44" s="12">
        <v>3105</v>
      </c>
      <c r="J44" s="12">
        <v>17810</v>
      </c>
      <c r="M44" s="12"/>
      <c r="N44" s="12"/>
      <c r="O44" s="12"/>
      <c r="P44" s="12"/>
      <c r="Q44" s="12"/>
      <c r="R44" s="12"/>
      <c r="S44" s="12"/>
      <c r="T44" s="12"/>
      <c r="U44" s="12"/>
      <c r="V44" s="12"/>
      <c r="W44" s="12"/>
      <c r="X44" s="12"/>
      <c r="Y44" s="12"/>
      <c r="Z44" s="12"/>
      <c r="AA44" s="12"/>
      <c r="AB44" s="12"/>
      <c r="AC44" s="12"/>
      <c r="AD44" s="12"/>
    </row>
    <row r="45" spans="1:30" x14ac:dyDescent="0.2">
      <c r="A45" s="529"/>
      <c r="B45" t="s">
        <v>76</v>
      </c>
      <c r="C45" s="35">
        <v>5</v>
      </c>
      <c r="D45" s="12">
        <v>3636663</v>
      </c>
      <c r="E45" s="12">
        <v>3940793</v>
      </c>
      <c r="G45" t="s">
        <v>112</v>
      </c>
      <c r="H45" s="35">
        <v>10</v>
      </c>
      <c r="I45" s="12">
        <v>35263</v>
      </c>
      <c r="J45" s="12">
        <v>26738</v>
      </c>
      <c r="M45" s="12"/>
      <c r="N45" s="12"/>
      <c r="O45" s="12"/>
      <c r="P45" s="12"/>
      <c r="Q45" s="12"/>
      <c r="R45" s="12"/>
      <c r="S45" s="12"/>
      <c r="T45" s="12"/>
      <c r="U45" s="12"/>
      <c r="V45" s="12"/>
      <c r="W45" s="12"/>
      <c r="X45" s="12"/>
      <c r="Y45" s="12"/>
      <c r="Z45" s="12"/>
      <c r="AA45" s="12"/>
      <c r="AB45" s="12"/>
      <c r="AC45" s="12"/>
      <c r="AD45" s="12"/>
    </row>
    <row r="46" spans="1:30" x14ac:dyDescent="0.2">
      <c r="A46" s="529"/>
      <c r="B46" t="s">
        <v>77</v>
      </c>
      <c r="C46" s="35">
        <v>11</v>
      </c>
      <c r="D46" s="12">
        <v>82220</v>
      </c>
      <c r="E46" s="12">
        <v>70466</v>
      </c>
      <c r="G46" s="19" t="s">
        <v>83</v>
      </c>
      <c r="H46" s="39">
        <v>16</v>
      </c>
      <c r="I46" s="20">
        <v>1092288</v>
      </c>
      <c r="J46" s="20">
        <v>1100293</v>
      </c>
      <c r="M46" s="12"/>
      <c r="N46" s="12"/>
      <c r="O46" s="12"/>
      <c r="P46" s="12"/>
      <c r="Q46" s="12"/>
      <c r="R46" s="12"/>
      <c r="S46" s="12"/>
      <c r="T46" s="12"/>
      <c r="U46" s="12"/>
      <c r="V46" s="12"/>
      <c r="W46" s="12"/>
      <c r="X46" s="12"/>
      <c r="Y46" s="12"/>
      <c r="Z46" s="12"/>
      <c r="AA46" s="12"/>
      <c r="AB46" s="12"/>
      <c r="AC46" s="12"/>
      <c r="AD46" s="12"/>
    </row>
    <row r="47" spans="1:30" x14ac:dyDescent="0.2">
      <c r="A47" s="529"/>
      <c r="B47" t="s">
        <v>78</v>
      </c>
      <c r="C47" s="35">
        <v>11</v>
      </c>
      <c r="D47" s="12">
        <v>51052</v>
      </c>
      <c r="E47" s="12">
        <v>48536</v>
      </c>
      <c r="G47" t="s">
        <v>69</v>
      </c>
      <c r="H47" s="36"/>
      <c r="I47" s="15">
        <v>1216490</v>
      </c>
      <c r="J47" s="15">
        <v>1236750</v>
      </c>
      <c r="M47" s="12"/>
      <c r="N47" s="12"/>
      <c r="O47" s="12"/>
      <c r="P47" s="12"/>
      <c r="Q47" s="12"/>
      <c r="R47" s="12"/>
      <c r="S47" s="12"/>
      <c r="T47" s="12"/>
      <c r="U47" s="12"/>
      <c r="V47" s="12"/>
      <c r="W47" s="12"/>
      <c r="X47" s="12"/>
      <c r="Y47" s="12"/>
      <c r="Z47" s="12"/>
      <c r="AA47" s="12"/>
      <c r="AB47" s="12"/>
      <c r="AC47" s="12"/>
      <c r="AD47" s="12"/>
    </row>
    <row r="48" spans="1:30" x14ac:dyDescent="0.2">
      <c r="A48" s="529"/>
      <c r="B48" t="s">
        <v>79</v>
      </c>
      <c r="C48" s="35">
        <v>12</v>
      </c>
      <c r="D48" s="12">
        <v>1178686</v>
      </c>
      <c r="E48" s="12">
        <v>885333</v>
      </c>
      <c r="H48" s="35"/>
      <c r="I48" s="15"/>
      <c r="J48" s="15"/>
      <c r="M48" s="12"/>
      <c r="N48" s="12"/>
      <c r="O48" s="12"/>
      <c r="P48" s="12"/>
      <c r="Q48" s="12"/>
      <c r="R48" s="12"/>
      <c r="S48" s="12"/>
      <c r="T48" s="12"/>
      <c r="U48" s="12"/>
      <c r="V48" s="12"/>
      <c r="W48" s="12"/>
      <c r="X48" s="12"/>
      <c r="Y48" s="12"/>
      <c r="Z48" s="12"/>
      <c r="AA48" s="12"/>
      <c r="AB48" s="12"/>
      <c r="AC48" s="12"/>
      <c r="AD48" s="12"/>
    </row>
    <row r="49" spans="1:40" x14ac:dyDescent="0.2">
      <c r="A49" s="529"/>
      <c r="B49" s="19" t="s">
        <v>149</v>
      </c>
      <c r="C49" s="39" t="s">
        <v>46</v>
      </c>
      <c r="D49" s="20">
        <v>864171</v>
      </c>
      <c r="E49" s="20">
        <v>0</v>
      </c>
      <c r="G49" t="s">
        <v>114</v>
      </c>
      <c r="H49" s="35">
        <v>10</v>
      </c>
      <c r="I49" s="12">
        <v>7922</v>
      </c>
      <c r="J49" s="12">
        <v>8524</v>
      </c>
      <c r="M49" s="12"/>
      <c r="N49" s="12"/>
      <c r="O49" s="12"/>
      <c r="P49" s="12"/>
      <c r="Q49" s="12"/>
      <c r="R49" s="12"/>
      <c r="S49" s="12"/>
      <c r="T49" s="12"/>
      <c r="U49" s="12"/>
      <c r="V49" s="12"/>
      <c r="W49" s="12"/>
      <c r="X49" s="12"/>
      <c r="Y49" s="12"/>
      <c r="Z49" s="12"/>
      <c r="AA49" s="12"/>
      <c r="AB49" s="12"/>
      <c r="AC49" s="12"/>
      <c r="AD49" s="12"/>
    </row>
    <row r="50" spans="1:40" x14ac:dyDescent="0.2">
      <c r="A50" s="529"/>
      <c r="B50" s="9" t="s">
        <v>64</v>
      </c>
      <c r="C50" s="18"/>
      <c r="D50" s="15">
        <v>5812792</v>
      </c>
      <c r="E50" s="15">
        <v>4945128</v>
      </c>
      <c r="G50" t="s">
        <v>86</v>
      </c>
      <c r="H50" s="35">
        <v>16</v>
      </c>
      <c r="I50" s="12">
        <v>1161043</v>
      </c>
      <c r="J50" s="12">
        <v>674014</v>
      </c>
      <c r="M50" s="12"/>
      <c r="N50" s="12"/>
      <c r="O50" s="12"/>
      <c r="P50" s="12"/>
      <c r="Q50" s="12"/>
      <c r="R50" s="12"/>
      <c r="S50" s="12"/>
      <c r="T50" s="12"/>
      <c r="U50" s="12"/>
      <c r="V50" s="12"/>
      <c r="W50" s="12"/>
      <c r="X50" s="12"/>
      <c r="Y50" s="12"/>
      <c r="Z50" s="12"/>
      <c r="AA50" s="12"/>
      <c r="AB50" s="12"/>
      <c r="AC50" s="12"/>
      <c r="AD50" s="12"/>
      <c r="AM50" s="21"/>
      <c r="AN50" s="21"/>
    </row>
    <row r="51" spans="1:40" x14ac:dyDescent="0.2">
      <c r="A51" s="529"/>
      <c r="D51" s="12"/>
      <c r="E51" s="12"/>
      <c r="G51" t="s">
        <v>137</v>
      </c>
      <c r="H51" s="35">
        <v>26</v>
      </c>
      <c r="I51" s="12">
        <v>0</v>
      </c>
      <c r="J51" s="12">
        <v>694121</v>
      </c>
      <c r="M51" s="12"/>
      <c r="N51" s="12"/>
      <c r="O51" s="12"/>
      <c r="P51" s="12"/>
      <c r="Q51" s="12"/>
      <c r="R51" s="12"/>
      <c r="S51" s="12"/>
      <c r="T51" s="12"/>
      <c r="U51" s="12"/>
      <c r="V51" s="12"/>
      <c r="W51" s="12"/>
      <c r="X51" s="12"/>
      <c r="Y51" s="12"/>
      <c r="Z51" s="12"/>
      <c r="AA51" s="12"/>
      <c r="AB51" s="12"/>
      <c r="AC51" s="12"/>
      <c r="AD51" s="12"/>
    </row>
    <row r="52" spans="1:40" x14ac:dyDescent="0.2">
      <c r="A52" s="529"/>
      <c r="B52" s="9" t="s">
        <v>65</v>
      </c>
      <c r="D52" s="15">
        <v>6912432</v>
      </c>
      <c r="E52" s="15">
        <v>5970802</v>
      </c>
      <c r="G52" t="s">
        <v>84</v>
      </c>
      <c r="H52" s="35">
        <v>17</v>
      </c>
      <c r="I52" s="12">
        <v>167633</v>
      </c>
      <c r="J52" s="12">
        <v>137495</v>
      </c>
      <c r="M52" s="12"/>
      <c r="N52" s="12"/>
      <c r="O52" s="12"/>
      <c r="P52" s="12"/>
      <c r="Q52" s="12"/>
      <c r="R52" s="12"/>
      <c r="S52" s="12"/>
      <c r="T52" s="12"/>
      <c r="U52" s="12"/>
      <c r="V52" s="12"/>
      <c r="W52" s="12"/>
      <c r="X52" s="12"/>
      <c r="Y52" s="12"/>
      <c r="Z52" s="12"/>
      <c r="AA52" s="12"/>
      <c r="AB52" s="12"/>
      <c r="AC52" s="12"/>
      <c r="AD52" s="12"/>
    </row>
    <row r="53" spans="1:40" x14ac:dyDescent="0.2">
      <c r="G53" t="s">
        <v>85</v>
      </c>
      <c r="H53" s="35">
        <v>19</v>
      </c>
      <c r="I53" s="12">
        <v>208488</v>
      </c>
      <c r="J53" s="12">
        <v>130994</v>
      </c>
      <c r="M53" s="12"/>
      <c r="N53" s="12"/>
      <c r="O53" s="12"/>
      <c r="P53" s="12"/>
      <c r="Q53" s="12"/>
      <c r="R53" s="12"/>
      <c r="S53" s="12"/>
      <c r="T53" s="12"/>
      <c r="U53" s="12"/>
      <c r="V53" s="12"/>
      <c r="W53" s="12"/>
      <c r="X53" s="12"/>
      <c r="Y53" s="12"/>
      <c r="Z53" s="12"/>
      <c r="AA53" s="12"/>
      <c r="AB53" s="12"/>
      <c r="AC53" s="12"/>
      <c r="AD53" s="12"/>
    </row>
    <row r="54" spans="1:40" x14ac:dyDescent="0.2">
      <c r="G54" t="s">
        <v>138</v>
      </c>
      <c r="H54" s="35">
        <v>17</v>
      </c>
      <c r="I54" s="12">
        <v>710728</v>
      </c>
      <c r="J54" s="12">
        <v>651089</v>
      </c>
      <c r="L54" s="9"/>
      <c r="M54" s="12"/>
      <c r="N54" s="12"/>
      <c r="O54" s="12"/>
      <c r="P54" s="12"/>
      <c r="Q54" s="12"/>
      <c r="R54" s="12"/>
      <c r="S54" s="12"/>
      <c r="T54" s="12"/>
      <c r="U54" s="12"/>
      <c r="Z54" s="12"/>
      <c r="AA54" s="12"/>
      <c r="AB54" s="12"/>
      <c r="AC54" s="12"/>
      <c r="AD54" s="12"/>
    </row>
    <row r="55" spans="1:40" x14ac:dyDescent="0.2">
      <c r="G55" s="19" t="s">
        <v>151</v>
      </c>
      <c r="H55" s="39" t="s">
        <v>59</v>
      </c>
      <c r="I55" s="20">
        <v>58044</v>
      </c>
      <c r="J55" s="20">
        <v>0</v>
      </c>
      <c r="R55" s="10"/>
      <c r="S55" s="12"/>
      <c r="T55" s="12"/>
      <c r="W55" s="10"/>
      <c r="X55" s="12"/>
      <c r="Y55" s="12"/>
    </row>
    <row r="56" spans="1:40" x14ac:dyDescent="0.2">
      <c r="B56" s="9"/>
      <c r="G56" t="s">
        <v>70</v>
      </c>
      <c r="H56" s="16"/>
      <c r="I56" s="15">
        <v>2313858</v>
      </c>
      <c r="J56" s="15">
        <v>2296237</v>
      </c>
      <c r="R56" s="10"/>
      <c r="S56" s="12"/>
      <c r="T56" s="12"/>
      <c r="W56" s="10"/>
      <c r="X56" s="12"/>
      <c r="Y56" s="12"/>
    </row>
    <row r="57" spans="1:40" x14ac:dyDescent="0.2">
      <c r="I57" s="15"/>
      <c r="J57" s="15"/>
      <c r="R57" s="10"/>
      <c r="S57" s="12"/>
      <c r="T57" s="12"/>
      <c r="V57" s="9"/>
      <c r="X57" s="21"/>
      <c r="Y57" s="21"/>
    </row>
    <row r="58" spans="1:40" x14ac:dyDescent="0.2">
      <c r="G58" t="s">
        <v>71</v>
      </c>
      <c r="H58" s="16"/>
      <c r="I58" s="15">
        <v>6912432</v>
      </c>
      <c r="J58" s="15">
        <v>5970802</v>
      </c>
      <c r="Q58" s="9"/>
      <c r="S58" s="12"/>
      <c r="T58" s="12"/>
    </row>
    <row r="59" spans="1:40" x14ac:dyDescent="0.2">
      <c r="V59" s="9"/>
      <c r="X59" s="21"/>
      <c r="Y59" s="21"/>
    </row>
    <row r="60" spans="1:40" x14ac:dyDescent="0.2">
      <c r="Q60" s="9"/>
      <c r="S60" s="12"/>
      <c r="T60" s="12"/>
    </row>
    <row r="61" spans="1:40" x14ac:dyDescent="0.2">
      <c r="AF61" s="9"/>
      <c r="AH61" s="21"/>
      <c r="AI61" s="21"/>
    </row>
    <row r="63" spans="1:40" x14ac:dyDescent="0.2">
      <c r="B63" t="s">
        <v>93</v>
      </c>
    </row>
    <row r="64" spans="1:40" x14ac:dyDescent="0.2">
      <c r="B64" t="s">
        <v>94</v>
      </c>
    </row>
  </sheetData>
  <mergeCells count="7">
    <mergeCell ref="L1:T1"/>
    <mergeCell ref="V1:AD1"/>
    <mergeCell ref="AF1:AN1"/>
    <mergeCell ref="B26:J26"/>
    <mergeCell ref="A35:A52"/>
    <mergeCell ref="A2:A19"/>
    <mergeCell ref="B35:J35"/>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D3966-24FF-974F-B745-9FF1548A2FC4}">
  <dimension ref="A1:X124"/>
  <sheetViews>
    <sheetView zoomScale="120" zoomScaleNormal="120" workbookViewId="0">
      <selection activeCell="C5" sqref="C5:G11"/>
    </sheetView>
  </sheetViews>
  <sheetFormatPr baseColWidth="10" defaultRowHeight="16" x14ac:dyDescent="0.2"/>
  <cols>
    <col min="1" max="1" width="3.83203125" customWidth="1"/>
    <col min="2" max="2" width="47" bestFit="1" customWidth="1"/>
    <col min="3" max="7" width="8.6640625" bestFit="1" customWidth="1"/>
    <col min="8" max="8" width="4" customWidth="1"/>
    <col min="9" max="9" width="39.83203125" style="101" bestFit="1" customWidth="1"/>
    <col min="10" max="12" width="9.6640625" style="101" bestFit="1" customWidth="1"/>
    <col min="13" max="13" width="10.33203125" style="101" bestFit="1" customWidth="1"/>
    <col min="14" max="14" width="9.6640625" style="101" bestFit="1" customWidth="1"/>
    <col min="18" max="18" width="47.1640625" customWidth="1"/>
    <col min="19" max="21" width="10.5" bestFit="1" customWidth="1"/>
    <col min="22" max="22" width="11.1640625" bestFit="1" customWidth="1"/>
    <col min="23" max="23" width="10.5" bestFit="1" customWidth="1"/>
    <col min="24" max="24" width="11" customWidth="1"/>
  </cols>
  <sheetData>
    <row r="1" spans="1:14" x14ac:dyDescent="0.2">
      <c r="A1" s="105"/>
      <c r="B1" s="105"/>
      <c r="C1" s="105"/>
      <c r="D1" s="105"/>
      <c r="E1" s="105"/>
      <c r="F1" s="105"/>
      <c r="G1" s="105"/>
      <c r="H1" s="105"/>
      <c r="I1" s="106"/>
      <c r="J1" s="106"/>
      <c r="K1" s="106"/>
      <c r="L1" s="106"/>
      <c r="M1" s="106"/>
      <c r="N1" s="106"/>
    </row>
    <row r="3" spans="1:14" x14ac:dyDescent="0.2">
      <c r="B3" s="109" t="s">
        <v>34</v>
      </c>
      <c r="C3" s="108">
        <v>2016</v>
      </c>
      <c r="D3" s="108">
        <v>2017</v>
      </c>
      <c r="E3" s="108">
        <v>2018</v>
      </c>
      <c r="F3" s="109">
        <v>2019</v>
      </c>
      <c r="G3" s="109">
        <v>2020</v>
      </c>
      <c r="H3" s="110"/>
      <c r="I3" s="109"/>
      <c r="J3" s="108">
        <v>2016</v>
      </c>
      <c r="K3" s="108">
        <v>2017</v>
      </c>
      <c r="L3" s="108">
        <v>2018</v>
      </c>
      <c r="M3" s="109">
        <v>2019</v>
      </c>
      <c r="N3" s="109">
        <v>2020</v>
      </c>
    </row>
    <row r="4" spans="1:14" x14ac:dyDescent="0.2">
      <c r="B4" s="96"/>
      <c r="C4" s="97"/>
      <c r="D4" s="97"/>
      <c r="E4" s="97"/>
      <c r="F4" s="98"/>
      <c r="G4" s="98"/>
      <c r="H4" s="94"/>
      <c r="I4" s="96"/>
      <c r="J4" s="104"/>
      <c r="K4" s="104"/>
      <c r="L4" s="104"/>
      <c r="M4" s="96"/>
      <c r="N4" s="96"/>
    </row>
    <row r="5" spans="1:14" x14ac:dyDescent="0.2">
      <c r="B5" s="96" t="s">
        <v>35</v>
      </c>
      <c r="C5" s="98">
        <v>383376</v>
      </c>
      <c r="D5" s="98">
        <v>383376</v>
      </c>
      <c r="E5" s="98">
        <v>383376</v>
      </c>
      <c r="F5" s="98">
        <v>383376</v>
      </c>
      <c r="G5" s="98">
        <v>383376</v>
      </c>
      <c r="H5" s="94"/>
      <c r="I5" s="96" t="s">
        <v>49</v>
      </c>
      <c r="J5" s="98">
        <v>2689857</v>
      </c>
      <c r="K5" s="98">
        <v>2848723</v>
      </c>
      <c r="L5" s="98">
        <v>3106770</v>
      </c>
      <c r="M5" s="98">
        <v>3374218</v>
      </c>
      <c r="N5" s="98">
        <v>2430023</v>
      </c>
    </row>
    <row r="6" spans="1:14" x14ac:dyDescent="0.2">
      <c r="B6" s="96" t="s">
        <v>36</v>
      </c>
      <c r="C6" s="98">
        <v>10867</v>
      </c>
      <c r="D6" s="98">
        <v>11428</v>
      </c>
      <c r="E6" s="98">
        <v>8565</v>
      </c>
      <c r="F6" s="98">
        <v>5588</v>
      </c>
      <c r="G6" s="98">
        <v>7332</v>
      </c>
      <c r="H6" s="94"/>
      <c r="I6" s="96" t="s">
        <v>50</v>
      </c>
      <c r="J6" s="98">
        <v>9315</v>
      </c>
      <c r="K6" s="98">
        <v>9419</v>
      </c>
      <c r="L6" s="98">
        <v>9366</v>
      </c>
      <c r="M6" s="98">
        <v>7866</v>
      </c>
      <c r="N6" s="98">
        <v>7792</v>
      </c>
    </row>
    <row r="7" spans="1:14" x14ac:dyDescent="0.2">
      <c r="B7" s="96" t="s">
        <v>37</v>
      </c>
      <c r="C7" s="98">
        <v>0</v>
      </c>
      <c r="D7" s="98">
        <v>0</v>
      </c>
      <c r="E7" s="98">
        <v>0</v>
      </c>
      <c r="F7" s="98">
        <v>44219</v>
      </c>
      <c r="G7" s="98">
        <v>34976</v>
      </c>
      <c r="H7" s="94"/>
      <c r="I7" s="102" t="s">
        <v>111</v>
      </c>
      <c r="J7" s="99">
        <f>SUM(J5:J6)</f>
        <v>2699172</v>
      </c>
      <c r="K7" s="99">
        <f>SUM(K5:K6)</f>
        <v>2858142</v>
      </c>
      <c r="L7" s="99">
        <f>SUM(L5:L6)</f>
        <v>3116136</v>
      </c>
      <c r="M7" s="100">
        <v>3382084</v>
      </c>
      <c r="N7" s="100">
        <v>2437815</v>
      </c>
    </row>
    <row r="8" spans="1:14" x14ac:dyDescent="0.2">
      <c r="B8" s="96" t="s">
        <v>38</v>
      </c>
      <c r="C8" s="98">
        <v>289818</v>
      </c>
      <c r="D8" s="98">
        <v>316241</v>
      </c>
      <c r="E8" s="98">
        <v>415280</v>
      </c>
      <c r="F8" s="98">
        <v>430281</v>
      </c>
      <c r="G8" s="98">
        <v>406850</v>
      </c>
      <c r="H8" s="94"/>
      <c r="I8" s="96"/>
      <c r="J8" s="98"/>
      <c r="K8" s="98"/>
      <c r="L8" s="98"/>
      <c r="M8" s="99"/>
      <c r="N8" s="99"/>
    </row>
    <row r="9" spans="1:14" x14ac:dyDescent="0.2">
      <c r="B9" s="96" t="s">
        <v>62</v>
      </c>
      <c r="C9" s="98">
        <v>63757</v>
      </c>
      <c r="D9" s="98">
        <v>122982</v>
      </c>
      <c r="E9" s="98">
        <v>119290</v>
      </c>
      <c r="F9" s="98">
        <v>70893</v>
      </c>
      <c r="G9" s="98">
        <v>73539</v>
      </c>
      <c r="H9" s="94"/>
      <c r="I9" s="96" t="s">
        <v>51</v>
      </c>
      <c r="J9" s="98">
        <v>594</v>
      </c>
      <c r="K9" s="98">
        <v>643</v>
      </c>
      <c r="L9" s="98">
        <v>277</v>
      </c>
      <c r="M9" s="98">
        <v>1017</v>
      </c>
      <c r="N9" s="98">
        <v>1030</v>
      </c>
    </row>
    <row r="10" spans="1:14" x14ac:dyDescent="0.2">
      <c r="B10" s="96" t="s">
        <v>40</v>
      </c>
      <c r="C10" s="98">
        <v>197318</v>
      </c>
      <c r="D10" s="98">
        <v>214039</v>
      </c>
      <c r="E10" s="98">
        <v>326074</v>
      </c>
      <c r="F10" s="98">
        <v>165283</v>
      </c>
      <c r="G10" s="98">
        <v>119601</v>
      </c>
      <c r="H10" s="94"/>
      <c r="I10" s="96" t="s">
        <v>90</v>
      </c>
      <c r="J10" s="98">
        <v>84486</v>
      </c>
      <c r="K10" s="98">
        <v>83537</v>
      </c>
      <c r="L10" s="98">
        <v>93011</v>
      </c>
      <c r="M10" s="98">
        <v>24444</v>
      </c>
      <c r="N10" s="98">
        <v>30506</v>
      </c>
    </row>
    <row r="11" spans="1:14" x14ac:dyDescent="0.2">
      <c r="B11" s="102" t="s">
        <v>41</v>
      </c>
      <c r="C11" s="99">
        <f>SUM(C5:C10)</f>
        <v>945136</v>
      </c>
      <c r="D11" s="99">
        <f>SUM(D5:D10)</f>
        <v>1048066</v>
      </c>
      <c r="E11" s="99">
        <f>SUM(E5:E10)</f>
        <v>1252585</v>
      </c>
      <c r="F11" s="100">
        <v>1099640</v>
      </c>
      <c r="G11" s="100">
        <v>1025674</v>
      </c>
      <c r="H11" s="94"/>
      <c r="I11" s="96" t="s">
        <v>52</v>
      </c>
      <c r="J11" s="98">
        <v>75073</v>
      </c>
      <c r="K11" s="98">
        <v>60373</v>
      </c>
      <c r="L11" s="98">
        <v>60373</v>
      </c>
      <c r="M11" s="98">
        <v>60373</v>
      </c>
      <c r="N11" s="98">
        <v>60373</v>
      </c>
    </row>
    <row r="12" spans="1:14" x14ac:dyDescent="0.2">
      <c r="B12" s="96"/>
      <c r="C12" s="98"/>
      <c r="D12" s="98"/>
      <c r="E12" s="98"/>
      <c r="F12" s="98"/>
      <c r="G12" s="99"/>
      <c r="H12" s="94"/>
      <c r="I12" s="96" t="s">
        <v>92</v>
      </c>
      <c r="J12" s="98">
        <v>6938</v>
      </c>
      <c r="K12" s="98">
        <v>8349</v>
      </c>
      <c r="L12" s="98">
        <v>3225</v>
      </c>
      <c r="M12" s="98">
        <v>3105</v>
      </c>
      <c r="N12" s="98">
        <v>17810</v>
      </c>
    </row>
    <row r="13" spans="1:14" x14ac:dyDescent="0.2">
      <c r="B13" s="96" t="s">
        <v>42</v>
      </c>
      <c r="C13" s="98">
        <v>4284011</v>
      </c>
      <c r="D13" s="98">
        <v>4643938</v>
      </c>
      <c r="E13" s="98">
        <v>4306304</v>
      </c>
      <c r="F13" s="98">
        <v>3636663</v>
      </c>
      <c r="G13" s="98">
        <v>3940793</v>
      </c>
      <c r="H13" s="94"/>
      <c r="I13" s="96" t="s">
        <v>113</v>
      </c>
      <c r="J13" s="98">
        <v>0</v>
      </c>
      <c r="K13" s="98">
        <v>0</v>
      </c>
      <c r="L13" s="98">
        <v>0</v>
      </c>
      <c r="M13" s="98">
        <v>35263</v>
      </c>
      <c r="N13" s="98">
        <v>26738</v>
      </c>
    </row>
    <row r="14" spans="1:14" x14ac:dyDescent="0.2">
      <c r="B14" s="96" t="s">
        <v>43</v>
      </c>
      <c r="C14" s="98">
        <v>103420</v>
      </c>
      <c r="D14" s="98">
        <v>133832</v>
      </c>
      <c r="E14" s="98">
        <v>215007</v>
      </c>
      <c r="F14" s="98">
        <v>82220</v>
      </c>
      <c r="G14" s="98">
        <v>70466</v>
      </c>
      <c r="H14" s="94"/>
      <c r="I14" s="96" t="s">
        <v>53</v>
      </c>
      <c r="J14" s="98">
        <v>2038660</v>
      </c>
      <c r="K14" s="98">
        <v>1836823</v>
      </c>
      <c r="L14" s="98">
        <v>1795798</v>
      </c>
      <c r="M14" s="98">
        <v>1092288</v>
      </c>
      <c r="N14" s="98">
        <v>1100293</v>
      </c>
    </row>
    <row r="15" spans="1:14" x14ac:dyDescent="0.2">
      <c r="B15" s="96" t="s">
        <v>44</v>
      </c>
      <c r="C15" s="98">
        <v>189902</v>
      </c>
      <c r="D15" s="98">
        <v>40621</v>
      </c>
      <c r="E15" s="98">
        <v>60199</v>
      </c>
      <c r="F15" s="98">
        <v>51052</v>
      </c>
      <c r="G15" s="98">
        <v>48536</v>
      </c>
      <c r="H15" s="94"/>
      <c r="I15" s="102" t="s">
        <v>54</v>
      </c>
      <c r="J15" s="99">
        <f>SUM(J9:J14)</f>
        <v>2205751</v>
      </c>
      <c r="K15" s="99">
        <f>SUM(K9:K14)</f>
        <v>1989725</v>
      </c>
      <c r="L15" s="99">
        <f>SUM(L9:L14)</f>
        <v>1952684</v>
      </c>
      <c r="M15" s="100">
        <v>1216490</v>
      </c>
      <c r="N15" s="100">
        <v>1236750</v>
      </c>
    </row>
    <row r="16" spans="1:14" x14ac:dyDescent="0.2">
      <c r="B16" s="96" t="s">
        <v>45</v>
      </c>
      <c r="C16" s="98">
        <v>886193</v>
      </c>
      <c r="D16" s="98">
        <v>485561</v>
      </c>
      <c r="E16" s="98">
        <v>657034</v>
      </c>
      <c r="F16" s="98">
        <v>1178686</v>
      </c>
      <c r="G16" s="98">
        <v>885333</v>
      </c>
      <c r="H16" s="94"/>
      <c r="I16" s="96"/>
      <c r="J16" s="98"/>
      <c r="K16" s="98"/>
      <c r="L16" s="98"/>
      <c r="M16" s="99"/>
      <c r="N16" s="99"/>
    </row>
    <row r="17" spans="1:14" x14ac:dyDescent="0.2">
      <c r="B17" s="96" t="s">
        <v>148</v>
      </c>
      <c r="C17" s="98">
        <v>0</v>
      </c>
      <c r="D17" s="98">
        <v>0</v>
      </c>
      <c r="E17" s="98">
        <v>0</v>
      </c>
      <c r="F17" s="98">
        <v>864171</v>
      </c>
      <c r="G17" s="98" t="s">
        <v>174</v>
      </c>
      <c r="H17" s="94"/>
      <c r="I17" s="96" t="s">
        <v>115</v>
      </c>
      <c r="J17" s="98">
        <v>0</v>
      </c>
      <c r="K17" s="98">
        <v>0</v>
      </c>
      <c r="L17" s="98">
        <v>0</v>
      </c>
      <c r="M17" s="98">
        <v>7922</v>
      </c>
      <c r="N17" s="98">
        <v>8524</v>
      </c>
    </row>
    <row r="18" spans="1:14" x14ac:dyDescent="0.2">
      <c r="B18" s="102" t="s">
        <v>47</v>
      </c>
      <c r="C18" s="99">
        <f>SUM(C13:C17)</f>
        <v>5463526</v>
      </c>
      <c r="D18" s="99">
        <f>SUM(D13:D17)</f>
        <v>5303952</v>
      </c>
      <c r="E18" s="99">
        <f>SUM(E13:E17)</f>
        <v>5238544</v>
      </c>
      <c r="F18" s="100">
        <v>5812792</v>
      </c>
      <c r="G18" s="100">
        <v>4945128</v>
      </c>
      <c r="H18" s="94"/>
      <c r="I18" s="96" t="s">
        <v>55</v>
      </c>
      <c r="J18" s="98">
        <v>534681</v>
      </c>
      <c r="K18" s="98">
        <v>380608</v>
      </c>
      <c r="L18" s="98">
        <v>520508</v>
      </c>
      <c r="M18" s="98">
        <v>1161043</v>
      </c>
      <c r="N18" s="98">
        <v>674014</v>
      </c>
    </row>
    <row r="19" spans="1:14" x14ac:dyDescent="0.2">
      <c r="B19" s="96"/>
      <c r="C19" s="101"/>
      <c r="D19" s="101"/>
      <c r="E19" s="98"/>
      <c r="F19" s="98"/>
      <c r="G19" s="99"/>
      <c r="H19" s="94"/>
      <c r="I19" s="96" t="s">
        <v>110</v>
      </c>
      <c r="J19" s="98">
        <v>0</v>
      </c>
      <c r="K19" s="98">
        <v>0</v>
      </c>
      <c r="L19" s="98">
        <v>0</v>
      </c>
      <c r="M19" s="98" t="s">
        <v>174</v>
      </c>
      <c r="N19" s="98">
        <v>694121</v>
      </c>
    </row>
    <row r="20" spans="1:14" x14ac:dyDescent="0.2">
      <c r="B20" s="103" t="s">
        <v>48</v>
      </c>
      <c r="C20" s="99">
        <f>C11+C18</f>
        <v>6408662</v>
      </c>
      <c r="D20" s="99">
        <f>D11+D18</f>
        <v>6352018</v>
      </c>
      <c r="E20" s="99">
        <f>E11+E18</f>
        <v>6491129</v>
      </c>
      <c r="F20" s="99">
        <v>6912432</v>
      </c>
      <c r="G20" s="99">
        <v>5970802</v>
      </c>
      <c r="H20" s="94"/>
      <c r="I20" s="96" t="s">
        <v>56</v>
      </c>
      <c r="J20" s="98">
        <v>219562</v>
      </c>
      <c r="K20" s="98">
        <v>166479</v>
      </c>
      <c r="L20" s="98">
        <v>181360</v>
      </c>
      <c r="M20" s="98">
        <v>167633</v>
      </c>
      <c r="N20" s="98">
        <v>137495</v>
      </c>
    </row>
    <row r="21" spans="1:14" x14ac:dyDescent="0.2">
      <c r="B21" s="94"/>
      <c r="C21" s="95"/>
      <c r="D21" s="95"/>
      <c r="E21" s="95"/>
      <c r="F21" s="94"/>
      <c r="G21" s="94"/>
      <c r="H21" s="94"/>
      <c r="I21" s="96" t="s">
        <v>57</v>
      </c>
      <c r="J21" s="98">
        <v>83343</v>
      </c>
      <c r="K21" s="98">
        <v>103782</v>
      </c>
      <c r="L21" s="98">
        <v>158110</v>
      </c>
      <c r="M21" s="98">
        <v>208488</v>
      </c>
      <c r="N21" s="98">
        <v>130994</v>
      </c>
    </row>
    <row r="22" spans="1:14" x14ac:dyDescent="0.2">
      <c r="B22" s="94"/>
      <c r="C22" s="95"/>
      <c r="D22" s="95"/>
      <c r="E22" s="95"/>
      <c r="F22" s="94"/>
      <c r="G22" s="94"/>
      <c r="H22" s="94"/>
      <c r="I22" s="96" t="s">
        <v>58</v>
      </c>
      <c r="J22" s="98">
        <v>666153</v>
      </c>
      <c r="K22" s="98">
        <v>853282</v>
      </c>
      <c r="L22" s="98">
        <v>562331</v>
      </c>
      <c r="M22" s="98">
        <v>710728</v>
      </c>
      <c r="N22" s="98">
        <v>651089</v>
      </c>
    </row>
    <row r="23" spans="1:14" x14ac:dyDescent="0.2">
      <c r="B23" s="94"/>
      <c r="C23" s="94"/>
      <c r="D23" s="94"/>
      <c r="E23" s="94"/>
      <c r="F23" s="94"/>
      <c r="G23" s="94"/>
      <c r="H23" s="94"/>
      <c r="I23" s="96" t="s">
        <v>150</v>
      </c>
      <c r="J23" s="98">
        <v>0</v>
      </c>
      <c r="K23" s="98">
        <v>0</v>
      </c>
      <c r="L23" s="98">
        <v>0</v>
      </c>
      <c r="M23" s="98">
        <v>58044</v>
      </c>
      <c r="N23" s="98" t="s">
        <v>174</v>
      </c>
    </row>
    <row r="24" spans="1:14" x14ac:dyDescent="0.2">
      <c r="B24" s="94" t="s">
        <v>204</v>
      </c>
      <c r="C24" s="98">
        <f>J15+J24+J6-C5-C16</f>
        <v>2449236</v>
      </c>
      <c r="D24" s="98">
        <f>K15+K24+K6-D5-D16</f>
        <v>2634358</v>
      </c>
      <c r="E24" s="98">
        <f>L15+L24+L6-E5-E16</f>
        <v>2343949</v>
      </c>
      <c r="F24" s="98">
        <f>M15+M24+M6-F5-F16</f>
        <v>1976152</v>
      </c>
      <c r="G24" s="98">
        <f>N15+N24+N6-G5-G16</f>
        <v>2272070</v>
      </c>
      <c r="H24" s="94"/>
      <c r="I24" s="102" t="s">
        <v>60</v>
      </c>
      <c r="J24" s="99">
        <f>SUM(J17:J23)</f>
        <v>1503739</v>
      </c>
      <c r="K24" s="99">
        <f>SUM(K17:K23)</f>
        <v>1504151</v>
      </c>
      <c r="L24" s="99">
        <f>SUM(L17:L23)</f>
        <v>1422309</v>
      </c>
      <c r="M24" s="100">
        <v>2313858</v>
      </c>
      <c r="N24" s="100">
        <v>2296237</v>
      </c>
    </row>
    <row r="25" spans="1:14" x14ac:dyDescent="0.2">
      <c r="B25" s="94"/>
      <c r="C25" s="94"/>
      <c r="D25" s="94"/>
      <c r="E25" s="94"/>
      <c r="F25" s="94"/>
      <c r="G25" s="94"/>
      <c r="H25" s="94"/>
      <c r="I25" s="96"/>
      <c r="J25" s="98"/>
      <c r="K25" s="98"/>
      <c r="L25" s="98"/>
      <c r="M25" s="99"/>
      <c r="N25" s="99"/>
    </row>
    <row r="26" spans="1:14" x14ac:dyDescent="0.2">
      <c r="B26" s="94"/>
      <c r="C26" s="94"/>
      <c r="D26" s="94"/>
      <c r="E26" s="94"/>
      <c r="F26" s="94"/>
      <c r="G26" s="94"/>
      <c r="H26" s="94"/>
      <c r="I26" s="103" t="s">
        <v>61</v>
      </c>
      <c r="J26" s="99">
        <f>J7+J15+J24</f>
        <v>6408662</v>
      </c>
      <c r="K26" s="99">
        <f>K7+K15+K24</f>
        <v>6352018</v>
      </c>
      <c r="L26" s="99">
        <f>L7+L15+L24</f>
        <v>6491129</v>
      </c>
      <c r="M26" s="99">
        <v>6912432</v>
      </c>
      <c r="N26" s="99">
        <v>5970802</v>
      </c>
    </row>
    <row r="28" spans="1:14" x14ac:dyDescent="0.2">
      <c r="A28" s="105"/>
      <c r="B28" s="143" t="s">
        <v>190</v>
      </c>
      <c r="C28" s="105"/>
      <c r="D28" s="105"/>
      <c r="E28" s="105"/>
      <c r="F28" s="105"/>
      <c r="G28" s="105"/>
      <c r="H28" s="105"/>
      <c r="I28" s="106"/>
      <c r="J28" s="106"/>
      <c r="K28" s="106"/>
      <c r="L28" s="106"/>
      <c r="M28" s="106"/>
      <c r="N28" s="106"/>
    </row>
    <row r="30" spans="1:14" x14ac:dyDescent="0.2">
      <c r="B30" s="109" t="s">
        <v>34</v>
      </c>
      <c r="C30" s="108">
        <v>2016</v>
      </c>
      <c r="D30" s="108">
        <v>2017</v>
      </c>
      <c r="E30" s="108">
        <v>2018</v>
      </c>
      <c r="F30" s="109">
        <v>2019</v>
      </c>
      <c r="G30" s="109">
        <v>2020</v>
      </c>
      <c r="I30" s="109"/>
      <c r="J30" s="108">
        <v>2016</v>
      </c>
      <c r="K30" s="108">
        <v>2017</v>
      </c>
      <c r="L30" s="108">
        <v>2018</v>
      </c>
      <c r="M30" s="109">
        <v>2019</v>
      </c>
      <c r="N30" s="109">
        <v>2020</v>
      </c>
    </row>
    <row r="31" spans="1:14" x14ac:dyDescent="0.2">
      <c r="B31" s="96"/>
      <c r="C31" s="97"/>
      <c r="D31" s="97"/>
      <c r="E31" s="97"/>
      <c r="F31" s="98"/>
      <c r="G31" s="98"/>
      <c r="I31" s="96"/>
      <c r="J31" s="104"/>
      <c r="K31" s="104"/>
      <c r="L31" s="104"/>
      <c r="M31" s="96"/>
      <c r="N31" s="96"/>
    </row>
    <row r="32" spans="1:14" x14ac:dyDescent="0.2">
      <c r="B32" s="96" t="s">
        <v>35</v>
      </c>
      <c r="C32" s="98">
        <v>383376</v>
      </c>
      <c r="D32" s="98">
        <v>383376</v>
      </c>
      <c r="E32" s="98">
        <v>383376</v>
      </c>
      <c r="F32" s="98">
        <v>383376</v>
      </c>
      <c r="G32" s="98">
        <v>383376</v>
      </c>
      <c r="I32" s="96" t="s">
        <v>49</v>
      </c>
      <c r="J32" s="98">
        <v>2689857</v>
      </c>
      <c r="K32" s="98">
        <v>2848723</v>
      </c>
      <c r="L32" s="98">
        <v>3106770</v>
      </c>
      <c r="M32" s="98">
        <v>3374218</v>
      </c>
      <c r="N32" s="98">
        <v>2430023</v>
      </c>
    </row>
    <row r="33" spans="2:14" x14ac:dyDescent="0.2">
      <c r="B33" s="96" t="s">
        <v>36</v>
      </c>
      <c r="C33" s="98">
        <v>10867</v>
      </c>
      <c r="D33" s="98">
        <v>11428</v>
      </c>
      <c r="E33" s="98">
        <v>8565</v>
      </c>
      <c r="F33" s="98">
        <v>5588</v>
      </c>
      <c r="G33" s="98">
        <v>7332</v>
      </c>
      <c r="I33" s="96" t="s">
        <v>50</v>
      </c>
      <c r="J33" s="98">
        <v>9315</v>
      </c>
      <c r="K33" s="98">
        <v>9419</v>
      </c>
      <c r="L33" s="98">
        <v>9366</v>
      </c>
      <c r="M33" s="98">
        <v>7866</v>
      </c>
      <c r="N33" s="98">
        <v>7792</v>
      </c>
    </row>
    <row r="34" spans="2:14" x14ac:dyDescent="0.2">
      <c r="B34" s="96" t="s">
        <v>37</v>
      </c>
      <c r="C34" s="98">
        <v>0</v>
      </c>
      <c r="D34" s="98">
        <v>0</v>
      </c>
      <c r="E34" s="98">
        <v>0</v>
      </c>
      <c r="F34" s="98">
        <v>44219</v>
      </c>
      <c r="G34" s="98">
        <v>34976</v>
      </c>
      <c r="I34" s="102" t="s">
        <v>111</v>
      </c>
      <c r="J34" s="99">
        <f>SUM(J32:J33)</f>
        <v>2699172</v>
      </c>
      <c r="K34" s="99">
        <f>SUM(K32:K33)</f>
        <v>2858142</v>
      </c>
      <c r="L34" s="99">
        <f>SUM(L32:L33)</f>
        <v>3116136</v>
      </c>
      <c r="M34" s="100">
        <v>3382084</v>
      </c>
      <c r="N34" s="100">
        <v>2437815</v>
      </c>
    </row>
    <row r="35" spans="2:14" x14ac:dyDescent="0.2">
      <c r="B35" s="96" t="s">
        <v>38</v>
      </c>
      <c r="C35" s="98">
        <v>289818</v>
      </c>
      <c r="D35" s="98">
        <v>316241</v>
      </c>
      <c r="E35" s="98">
        <v>415280</v>
      </c>
      <c r="F35" s="98">
        <v>430281</v>
      </c>
      <c r="G35" s="98">
        <v>406850</v>
      </c>
    </row>
    <row r="36" spans="2:14" x14ac:dyDescent="0.2">
      <c r="B36" s="96" t="s">
        <v>62</v>
      </c>
      <c r="C36" s="98">
        <v>63757</v>
      </c>
      <c r="D36" s="98">
        <v>122982</v>
      </c>
      <c r="E36" s="98">
        <v>119290</v>
      </c>
      <c r="F36" s="98">
        <v>70893</v>
      </c>
      <c r="G36" s="98">
        <v>73539</v>
      </c>
      <c r="I36" s="96" t="s">
        <v>90</v>
      </c>
      <c r="J36" s="98">
        <v>84486</v>
      </c>
      <c r="K36" s="98">
        <v>83537</v>
      </c>
      <c r="L36" s="98">
        <v>93011</v>
      </c>
      <c r="M36" s="98">
        <v>24444</v>
      </c>
      <c r="N36" s="98">
        <v>30506</v>
      </c>
    </row>
    <row r="37" spans="2:14" x14ac:dyDescent="0.2">
      <c r="B37" s="96" t="s">
        <v>40</v>
      </c>
      <c r="C37" s="98">
        <v>197318</v>
      </c>
      <c r="D37" s="98">
        <v>214039</v>
      </c>
      <c r="E37" s="98">
        <v>326074</v>
      </c>
      <c r="F37" s="98">
        <v>165283</v>
      </c>
      <c r="G37" s="98">
        <v>119601</v>
      </c>
      <c r="I37" s="96" t="s">
        <v>52</v>
      </c>
      <c r="J37" s="98">
        <v>75073</v>
      </c>
      <c r="K37" s="98">
        <v>60373</v>
      </c>
      <c r="L37" s="98">
        <v>60373</v>
      </c>
      <c r="M37" s="98">
        <v>60373</v>
      </c>
      <c r="N37" s="98">
        <v>60373</v>
      </c>
    </row>
    <row r="38" spans="2:14" x14ac:dyDescent="0.2">
      <c r="B38" s="96" t="s">
        <v>175</v>
      </c>
      <c r="C38" s="99">
        <f>SUM(C32:C37)</f>
        <v>945136</v>
      </c>
      <c r="D38" s="99">
        <f>SUM(D32:D37)</f>
        <v>1048066</v>
      </c>
      <c r="E38" s="99">
        <f>SUM(E32:E37)</f>
        <v>1252585</v>
      </c>
      <c r="F38" s="99">
        <f>SUM(F32:F37)</f>
        <v>1099640</v>
      </c>
      <c r="G38" s="99">
        <f>SUM(G32:G37)</f>
        <v>1025674</v>
      </c>
      <c r="I38" s="96" t="s">
        <v>92</v>
      </c>
      <c r="J38" s="98">
        <v>6938</v>
      </c>
      <c r="K38" s="98">
        <v>8349</v>
      </c>
      <c r="L38" s="98">
        <v>3225</v>
      </c>
      <c r="M38" s="98">
        <v>3105</v>
      </c>
      <c r="N38" s="98">
        <v>17810</v>
      </c>
    </row>
    <row r="39" spans="2:14" x14ac:dyDescent="0.2">
      <c r="I39" s="96" t="s">
        <v>113</v>
      </c>
      <c r="J39" s="98">
        <v>0</v>
      </c>
      <c r="K39" s="98">
        <v>0</v>
      </c>
      <c r="L39" s="98">
        <v>0</v>
      </c>
      <c r="M39" s="98">
        <v>35263</v>
      </c>
      <c r="N39" s="98">
        <v>26738</v>
      </c>
    </row>
    <row r="40" spans="2:14" x14ac:dyDescent="0.2">
      <c r="B40" s="96" t="s">
        <v>45</v>
      </c>
      <c r="C40" s="98">
        <v>886193</v>
      </c>
      <c r="D40" s="98">
        <v>485561</v>
      </c>
      <c r="E40" s="98">
        <v>657034</v>
      </c>
      <c r="F40" s="98">
        <v>1178686</v>
      </c>
      <c r="G40" s="98">
        <v>885333</v>
      </c>
      <c r="I40" s="101" t="s">
        <v>178</v>
      </c>
      <c r="J40" s="112">
        <f>SUM(J36:J39)</f>
        <v>166497</v>
      </c>
      <c r="K40" s="112">
        <f>SUM(K36:K39)</f>
        <v>152259</v>
      </c>
      <c r="L40" s="112">
        <f>SUM(L36:L39)</f>
        <v>156609</v>
      </c>
      <c r="M40" s="112">
        <f>SUM(M36:M39)</f>
        <v>123185</v>
      </c>
      <c r="N40" s="112">
        <f>SUM(N36:N39)</f>
        <v>135427</v>
      </c>
    </row>
    <row r="41" spans="2:14" x14ac:dyDescent="0.2">
      <c r="B41" s="96" t="s">
        <v>148</v>
      </c>
      <c r="C41" s="98">
        <v>0</v>
      </c>
      <c r="D41" s="98">
        <v>0</v>
      </c>
      <c r="E41" s="98">
        <v>0</v>
      </c>
      <c r="F41" s="98">
        <v>864171</v>
      </c>
      <c r="G41" s="98" t="s">
        <v>174</v>
      </c>
    </row>
    <row r="42" spans="2:14" x14ac:dyDescent="0.2">
      <c r="B42" s="96" t="s">
        <v>176</v>
      </c>
      <c r="C42" s="99">
        <f>SUM(C40:C41)</f>
        <v>886193</v>
      </c>
      <c r="D42" s="99">
        <f>SUM(D40:D41)</f>
        <v>485561</v>
      </c>
      <c r="E42" s="99">
        <f>SUM(E40:E41)</f>
        <v>657034</v>
      </c>
      <c r="F42" s="99">
        <f>SUM(F40:F41)</f>
        <v>2042857</v>
      </c>
      <c r="G42" s="99">
        <f>SUM(G40:G41)</f>
        <v>885333</v>
      </c>
      <c r="I42" s="96" t="s">
        <v>51</v>
      </c>
      <c r="J42" s="98">
        <v>594</v>
      </c>
      <c r="K42" s="98">
        <v>643</v>
      </c>
      <c r="L42" s="98">
        <v>277</v>
      </c>
      <c r="M42" s="98">
        <v>1017</v>
      </c>
      <c r="N42" s="98">
        <v>1030</v>
      </c>
    </row>
    <row r="43" spans="2:14" x14ac:dyDescent="0.2">
      <c r="I43" s="96" t="s">
        <v>53</v>
      </c>
      <c r="J43" s="98">
        <v>2038660</v>
      </c>
      <c r="K43" s="98">
        <v>1836823</v>
      </c>
      <c r="L43" s="98">
        <v>1795798</v>
      </c>
      <c r="M43" s="98">
        <v>1092288</v>
      </c>
      <c r="N43" s="98">
        <v>1100293</v>
      </c>
    </row>
    <row r="44" spans="2:14" x14ac:dyDescent="0.2">
      <c r="B44" s="96" t="s">
        <v>42</v>
      </c>
      <c r="C44" s="98">
        <v>4284011</v>
      </c>
      <c r="D44" s="98">
        <v>4643938</v>
      </c>
      <c r="E44" s="98">
        <v>4306304</v>
      </c>
      <c r="F44" s="98">
        <v>3636663</v>
      </c>
      <c r="G44" s="98">
        <v>3940793</v>
      </c>
      <c r="I44" s="96" t="s">
        <v>55</v>
      </c>
      <c r="J44" s="98">
        <v>534681</v>
      </c>
      <c r="K44" s="98">
        <v>380608</v>
      </c>
      <c r="L44" s="98">
        <v>520508</v>
      </c>
      <c r="M44" s="98">
        <v>1161043</v>
      </c>
      <c r="N44" s="98">
        <v>674014</v>
      </c>
    </row>
    <row r="45" spans="2:14" x14ac:dyDescent="0.2">
      <c r="B45" s="96" t="s">
        <v>43</v>
      </c>
      <c r="C45" s="98">
        <v>103420</v>
      </c>
      <c r="D45" s="98">
        <v>133832</v>
      </c>
      <c r="E45" s="98">
        <v>215007</v>
      </c>
      <c r="F45" s="98">
        <v>82220</v>
      </c>
      <c r="G45" s="98">
        <v>70466</v>
      </c>
      <c r="I45" s="96" t="s">
        <v>110</v>
      </c>
      <c r="J45" s="98">
        <v>0</v>
      </c>
      <c r="K45" s="98">
        <v>0</v>
      </c>
      <c r="L45" s="98">
        <v>0</v>
      </c>
      <c r="M45" s="98" t="s">
        <v>174</v>
      </c>
      <c r="N45" s="98">
        <v>694121</v>
      </c>
    </row>
    <row r="46" spans="2:14" x14ac:dyDescent="0.2">
      <c r="B46" s="96" t="s">
        <v>44</v>
      </c>
      <c r="C46" s="98">
        <v>189902</v>
      </c>
      <c r="D46" s="98">
        <v>40621</v>
      </c>
      <c r="E46" s="98">
        <v>60199</v>
      </c>
      <c r="F46" s="98">
        <v>51052</v>
      </c>
      <c r="G46" s="98">
        <v>48536</v>
      </c>
      <c r="I46" s="96" t="s">
        <v>150</v>
      </c>
      <c r="J46" s="98">
        <v>0</v>
      </c>
      <c r="K46" s="98">
        <v>0</v>
      </c>
      <c r="L46" s="98">
        <v>0</v>
      </c>
      <c r="M46" s="98">
        <v>58044</v>
      </c>
      <c r="N46" s="98" t="s">
        <v>174</v>
      </c>
    </row>
    <row r="47" spans="2:14" x14ac:dyDescent="0.2">
      <c r="B47" s="96" t="s">
        <v>177</v>
      </c>
      <c r="C47" s="99">
        <f>SUM(C44:C46)</f>
        <v>4577333</v>
      </c>
      <c r="D47" s="99">
        <f>SUM(D44:D46)</f>
        <v>4818391</v>
      </c>
      <c r="E47" s="99">
        <f>SUM(E44:E46)</f>
        <v>4581510</v>
      </c>
      <c r="F47" s="99">
        <f>SUM(F44:F46)</f>
        <v>3769935</v>
      </c>
      <c r="G47" s="99">
        <f>SUM(G44:G46)</f>
        <v>4059795</v>
      </c>
      <c r="I47" s="101" t="s">
        <v>179</v>
      </c>
      <c r="J47" s="112">
        <f>SUM(J42:J46)</f>
        <v>2573935</v>
      </c>
      <c r="K47" s="112">
        <f>SUM(K42:K46)</f>
        <v>2218074</v>
      </c>
      <c r="L47" s="112">
        <f>SUM(L42:L46)</f>
        <v>2316583</v>
      </c>
      <c r="M47" s="112">
        <f>SUM(M42:M46)</f>
        <v>2312392</v>
      </c>
      <c r="N47" s="112">
        <f>SUM(N42:N46)</f>
        <v>2469458</v>
      </c>
    </row>
    <row r="49" spans="1:14" x14ac:dyDescent="0.2">
      <c r="B49" s="96" t="s">
        <v>181</v>
      </c>
      <c r="C49" s="111">
        <f>C38+C42+C47</f>
        <v>6408662</v>
      </c>
      <c r="D49" s="111">
        <f>D38+D42+D47</f>
        <v>6352018</v>
      </c>
      <c r="E49" s="111">
        <f>E38+E42+E47</f>
        <v>6491129</v>
      </c>
      <c r="F49" s="111">
        <f>F38+F42+F47</f>
        <v>6912432</v>
      </c>
      <c r="G49" s="111">
        <f>G38+G42+G47</f>
        <v>5970802</v>
      </c>
      <c r="I49" s="96" t="s">
        <v>115</v>
      </c>
      <c r="J49" s="98">
        <v>0</v>
      </c>
      <c r="K49" s="98">
        <v>0</v>
      </c>
      <c r="L49" s="98">
        <v>0</v>
      </c>
      <c r="M49" s="98">
        <v>7922</v>
      </c>
      <c r="N49" s="98">
        <v>8524</v>
      </c>
    </row>
    <row r="50" spans="1:14" x14ac:dyDescent="0.2">
      <c r="I50" s="96" t="s">
        <v>56</v>
      </c>
      <c r="J50" s="98">
        <v>219562</v>
      </c>
      <c r="K50" s="98">
        <v>166479</v>
      </c>
      <c r="L50" s="98">
        <v>181360</v>
      </c>
      <c r="M50" s="98">
        <v>167633</v>
      </c>
      <c r="N50" s="98">
        <v>137495</v>
      </c>
    </row>
    <row r="51" spans="1:14" x14ac:dyDescent="0.2">
      <c r="I51" s="96" t="s">
        <v>57</v>
      </c>
      <c r="J51" s="98">
        <v>83343</v>
      </c>
      <c r="K51" s="98">
        <v>103782</v>
      </c>
      <c r="L51" s="98">
        <v>158110</v>
      </c>
      <c r="M51" s="98">
        <v>208488</v>
      </c>
      <c r="N51" s="98">
        <v>130994</v>
      </c>
    </row>
    <row r="52" spans="1:14" x14ac:dyDescent="0.2">
      <c r="I52" s="96" t="s">
        <v>58</v>
      </c>
      <c r="J52" s="98">
        <v>666153</v>
      </c>
      <c r="K52" s="98">
        <v>853282</v>
      </c>
      <c r="L52" s="98">
        <v>562331</v>
      </c>
      <c r="M52" s="98">
        <v>710728</v>
      </c>
      <c r="N52" s="98">
        <v>651089</v>
      </c>
    </row>
    <row r="53" spans="1:14" x14ac:dyDescent="0.2">
      <c r="I53" s="101" t="s">
        <v>180</v>
      </c>
      <c r="J53" s="112">
        <f>SUM(J49:J52)</f>
        <v>969058</v>
      </c>
      <c r="K53" s="112">
        <f>SUM(K49:K52)</f>
        <v>1123543</v>
      </c>
      <c r="L53" s="112">
        <f>SUM(L49:L52)</f>
        <v>901801</v>
      </c>
      <c r="M53" s="112">
        <f>SUM(M49:M52)</f>
        <v>1094771</v>
      </c>
      <c r="N53" s="112">
        <f>SUM(N49:N52)</f>
        <v>928102</v>
      </c>
    </row>
    <row r="55" spans="1:14" x14ac:dyDescent="0.2">
      <c r="I55" s="101" t="s">
        <v>71</v>
      </c>
      <c r="J55" s="111">
        <f>J34+J40+J47+J53</f>
        <v>6408662</v>
      </c>
      <c r="K55" s="111">
        <f>K34+K40+K47+K53</f>
        <v>6352018</v>
      </c>
      <c r="L55" s="111">
        <f>L34+L40+L47+L53</f>
        <v>6491129</v>
      </c>
      <c r="M55" s="111">
        <f>M34+M40+M47+M53</f>
        <v>6912432</v>
      </c>
      <c r="N55" s="111">
        <f>N34+N40+N47+N53</f>
        <v>5970802</v>
      </c>
    </row>
    <row r="57" spans="1:14" x14ac:dyDescent="0.2">
      <c r="A57" s="105"/>
      <c r="B57" s="143" t="s">
        <v>191</v>
      </c>
      <c r="C57" s="105"/>
      <c r="D57" s="105"/>
      <c r="E57" s="105"/>
      <c r="F57" s="105"/>
      <c r="G57" s="105"/>
      <c r="H57" s="105"/>
      <c r="I57" s="106"/>
      <c r="J57" s="106"/>
      <c r="K57" s="106"/>
      <c r="L57" s="106"/>
      <c r="M57" s="106"/>
      <c r="N57" s="106"/>
    </row>
    <row r="59" spans="1:14" x14ac:dyDescent="0.2">
      <c r="B59" s="109" t="s">
        <v>34</v>
      </c>
      <c r="C59" s="108">
        <v>2016</v>
      </c>
      <c r="D59" s="108">
        <v>2017</v>
      </c>
      <c r="E59" s="108">
        <v>2018</v>
      </c>
      <c r="F59" s="109">
        <v>2019</v>
      </c>
      <c r="G59" s="109">
        <v>2020</v>
      </c>
      <c r="I59" s="109"/>
      <c r="J59" s="108">
        <v>2016</v>
      </c>
      <c r="K59" s="108">
        <v>2017</v>
      </c>
      <c r="L59" s="108">
        <v>2018</v>
      </c>
      <c r="M59" s="109">
        <v>2019</v>
      </c>
      <c r="N59" s="109">
        <v>2020</v>
      </c>
    </row>
    <row r="60" spans="1:14" x14ac:dyDescent="0.2">
      <c r="B60" s="96"/>
      <c r="C60" s="97"/>
      <c r="D60" s="97"/>
      <c r="E60" s="97"/>
      <c r="F60" s="98"/>
      <c r="G60" s="98"/>
      <c r="I60" s="96"/>
      <c r="J60" s="104"/>
      <c r="K60" s="104"/>
      <c r="L60" s="104"/>
      <c r="M60" s="96"/>
      <c r="N60" s="96"/>
    </row>
    <row r="61" spans="1:14" x14ac:dyDescent="0.2">
      <c r="B61" s="96" t="s">
        <v>35</v>
      </c>
      <c r="C61" s="98">
        <v>383376</v>
      </c>
      <c r="D61" s="98">
        <v>383376</v>
      </c>
      <c r="E61" s="98">
        <v>383376</v>
      </c>
      <c r="F61" s="98">
        <v>383376</v>
      </c>
      <c r="G61" s="98">
        <v>383376</v>
      </c>
      <c r="I61" s="96" t="s">
        <v>49</v>
      </c>
      <c r="J61" s="98">
        <v>2689857</v>
      </c>
      <c r="K61" s="98">
        <v>2848723</v>
      </c>
      <c r="L61" s="98">
        <v>3106770</v>
      </c>
      <c r="M61" s="98">
        <v>3374218</v>
      </c>
      <c r="N61" s="98">
        <v>2430023</v>
      </c>
    </row>
    <row r="62" spans="1:14" x14ac:dyDescent="0.2">
      <c r="B62" s="96" t="s">
        <v>36</v>
      </c>
      <c r="C62" s="98">
        <v>10867</v>
      </c>
      <c r="D62" s="98">
        <v>11428</v>
      </c>
      <c r="E62" s="98">
        <v>8565</v>
      </c>
      <c r="F62" s="98">
        <v>5588</v>
      </c>
      <c r="G62" s="98">
        <v>7332</v>
      </c>
      <c r="I62" s="96" t="s">
        <v>50</v>
      </c>
      <c r="J62" s="98">
        <v>9315</v>
      </c>
      <c r="K62" s="98">
        <v>9419</v>
      </c>
      <c r="L62" s="98">
        <v>9366</v>
      </c>
      <c r="M62" s="98">
        <v>7866</v>
      </c>
      <c r="N62" s="98">
        <v>7792</v>
      </c>
    </row>
    <row r="63" spans="1:14" x14ac:dyDescent="0.2">
      <c r="B63" s="96" t="s">
        <v>37</v>
      </c>
      <c r="C63" s="98">
        <v>0</v>
      </c>
      <c r="D63" s="98">
        <v>0</v>
      </c>
      <c r="E63" s="98">
        <v>0</v>
      </c>
      <c r="F63" s="98">
        <v>44219</v>
      </c>
      <c r="G63" s="98">
        <v>34976</v>
      </c>
      <c r="I63" s="102" t="s">
        <v>111</v>
      </c>
      <c r="J63" s="99">
        <f>SUM(J61:J62)</f>
        <v>2699172</v>
      </c>
      <c r="K63" s="99">
        <f>SUM(K61:K62)</f>
        <v>2858142</v>
      </c>
      <c r="L63" s="99">
        <f>SUM(L61:L62)</f>
        <v>3116136</v>
      </c>
      <c r="M63" s="100">
        <v>3382084</v>
      </c>
      <c r="N63" s="100">
        <v>2437815</v>
      </c>
    </row>
    <row r="64" spans="1:14" x14ac:dyDescent="0.2">
      <c r="B64" s="96" t="s">
        <v>38</v>
      </c>
      <c r="C64" s="98">
        <v>289818</v>
      </c>
      <c r="D64" s="98">
        <v>316241</v>
      </c>
      <c r="E64" s="98">
        <v>415280</v>
      </c>
      <c r="F64" s="98">
        <v>430281</v>
      </c>
      <c r="G64" s="98">
        <v>406850</v>
      </c>
    </row>
    <row r="65" spans="2:14" x14ac:dyDescent="0.2">
      <c r="B65" s="96" t="s">
        <v>62</v>
      </c>
      <c r="C65" s="98">
        <v>63757</v>
      </c>
      <c r="D65" s="98">
        <v>122982</v>
      </c>
      <c r="E65" s="98">
        <v>119290</v>
      </c>
      <c r="F65" s="98">
        <v>70893</v>
      </c>
      <c r="G65" s="98">
        <v>73539</v>
      </c>
      <c r="I65" s="96" t="s">
        <v>51</v>
      </c>
      <c r="J65" s="98">
        <v>594</v>
      </c>
      <c r="K65" s="98">
        <v>643</v>
      </c>
      <c r="L65" s="98">
        <v>277</v>
      </c>
      <c r="M65" s="98">
        <v>1017</v>
      </c>
      <c r="N65" s="98">
        <v>1030</v>
      </c>
    </row>
    <row r="66" spans="2:14" x14ac:dyDescent="0.2">
      <c r="B66" s="96" t="s">
        <v>40</v>
      </c>
      <c r="C66" s="98">
        <v>197318</v>
      </c>
      <c r="D66" s="98">
        <v>214039</v>
      </c>
      <c r="E66" s="98">
        <v>326074</v>
      </c>
      <c r="F66" s="98">
        <v>165283</v>
      </c>
      <c r="G66" s="98">
        <v>119601</v>
      </c>
      <c r="I66" s="96" t="s">
        <v>53</v>
      </c>
      <c r="J66" s="98">
        <v>2038660</v>
      </c>
      <c r="K66" s="98">
        <v>1836823</v>
      </c>
      <c r="L66" s="98">
        <v>1795798</v>
      </c>
      <c r="M66" s="98">
        <v>1092288</v>
      </c>
      <c r="N66" s="98">
        <v>1100293</v>
      </c>
    </row>
    <row r="67" spans="2:14" x14ac:dyDescent="0.2">
      <c r="B67" s="107" t="s">
        <v>90</v>
      </c>
      <c r="C67" s="98">
        <v>-84486</v>
      </c>
      <c r="D67" s="98">
        <v>-83537</v>
      </c>
      <c r="E67" s="98">
        <v>-93011</v>
      </c>
      <c r="F67" s="98">
        <v>-24444</v>
      </c>
      <c r="G67" s="98">
        <v>-30506</v>
      </c>
      <c r="I67" s="96" t="s">
        <v>55</v>
      </c>
      <c r="J67" s="98">
        <v>534681</v>
      </c>
      <c r="K67" s="98">
        <v>380608</v>
      </c>
      <c r="L67" s="98">
        <v>520508</v>
      </c>
      <c r="M67" s="98">
        <v>1161043</v>
      </c>
      <c r="N67" s="98">
        <v>674014</v>
      </c>
    </row>
    <row r="68" spans="2:14" x14ac:dyDescent="0.2">
      <c r="B68" s="107" t="s">
        <v>52</v>
      </c>
      <c r="C68" s="98">
        <v>-75073</v>
      </c>
      <c r="D68" s="98">
        <v>-60373</v>
      </c>
      <c r="E68" s="98">
        <v>-60373</v>
      </c>
      <c r="F68" s="98">
        <v>-60373</v>
      </c>
      <c r="G68" s="98">
        <v>-60373</v>
      </c>
      <c r="I68" s="96" t="s">
        <v>110</v>
      </c>
      <c r="J68" s="98">
        <v>0</v>
      </c>
      <c r="K68" s="98">
        <v>0</v>
      </c>
      <c r="L68" s="98">
        <v>0</v>
      </c>
      <c r="M68" s="98" t="s">
        <v>174</v>
      </c>
      <c r="N68" s="98">
        <v>694121</v>
      </c>
    </row>
    <row r="69" spans="2:14" x14ac:dyDescent="0.2">
      <c r="B69" s="107" t="s">
        <v>92</v>
      </c>
      <c r="C69" s="98">
        <v>-6938</v>
      </c>
      <c r="D69" s="98">
        <v>-8349</v>
      </c>
      <c r="E69" s="98">
        <v>-3225</v>
      </c>
      <c r="F69" s="98">
        <v>-3105</v>
      </c>
      <c r="G69" s="98">
        <v>-17810</v>
      </c>
      <c r="I69" s="96" t="s">
        <v>150</v>
      </c>
      <c r="J69" s="98">
        <v>0</v>
      </c>
      <c r="K69" s="98">
        <v>0</v>
      </c>
      <c r="L69" s="98">
        <v>0</v>
      </c>
      <c r="M69" s="98">
        <v>58044</v>
      </c>
      <c r="N69" s="98" t="s">
        <v>174</v>
      </c>
    </row>
    <row r="70" spans="2:14" x14ac:dyDescent="0.2">
      <c r="B70" s="107" t="s">
        <v>113</v>
      </c>
      <c r="C70" s="98">
        <v>0</v>
      </c>
      <c r="D70" s="98">
        <v>0</v>
      </c>
      <c r="E70" s="98">
        <v>0</v>
      </c>
      <c r="F70" s="98">
        <v>-35263</v>
      </c>
      <c r="G70" s="98">
        <v>-26738</v>
      </c>
      <c r="I70" s="115" t="s">
        <v>179</v>
      </c>
      <c r="J70" s="112">
        <f>SUM(J65:J69)</f>
        <v>2573935</v>
      </c>
      <c r="K70" s="112">
        <f>SUM(K65:K69)</f>
        <v>2218074</v>
      </c>
      <c r="L70" s="112">
        <f>SUM(L65:L69)</f>
        <v>2316583</v>
      </c>
      <c r="M70" s="112">
        <f>SUM(M65:M69)</f>
        <v>2312392</v>
      </c>
      <c r="N70" s="112">
        <f>SUM(N65:N69)</f>
        <v>2469458</v>
      </c>
    </row>
    <row r="71" spans="2:14" x14ac:dyDescent="0.2">
      <c r="B71" s="114" t="s">
        <v>182</v>
      </c>
      <c r="C71" s="112">
        <f>SUM(C61:C70)</f>
        <v>778639</v>
      </c>
      <c r="D71" s="112">
        <f>SUM(D61:D70)</f>
        <v>895807</v>
      </c>
      <c r="E71" s="112">
        <f>SUM(E61:E70)</f>
        <v>1095976</v>
      </c>
      <c r="F71" s="112">
        <f>SUM(F61:F70)</f>
        <v>976455</v>
      </c>
      <c r="G71" s="112">
        <f>SUM(G61:G70)</f>
        <v>890247</v>
      </c>
    </row>
    <row r="72" spans="2:14" x14ac:dyDescent="0.2">
      <c r="B72" s="96" t="s">
        <v>42</v>
      </c>
      <c r="C72" s="98">
        <v>4284011</v>
      </c>
      <c r="D72" s="98">
        <v>4643938</v>
      </c>
      <c r="E72" s="98">
        <v>4306304</v>
      </c>
      <c r="F72" s="98">
        <v>3636663</v>
      </c>
      <c r="G72" s="98">
        <v>3940793</v>
      </c>
    </row>
    <row r="73" spans="2:14" x14ac:dyDescent="0.2">
      <c r="B73" s="96" t="s">
        <v>43</v>
      </c>
      <c r="C73" s="98">
        <v>103420</v>
      </c>
      <c r="D73" s="98">
        <v>133832</v>
      </c>
      <c r="E73" s="98">
        <v>215007</v>
      </c>
      <c r="F73" s="98">
        <v>82220</v>
      </c>
      <c r="G73" s="98">
        <v>70466</v>
      </c>
    </row>
    <row r="74" spans="2:14" x14ac:dyDescent="0.2">
      <c r="B74" s="96" t="s">
        <v>44</v>
      </c>
      <c r="C74" s="98">
        <v>189902</v>
      </c>
      <c r="D74" s="98">
        <v>40621</v>
      </c>
      <c r="E74" s="98">
        <v>60199</v>
      </c>
      <c r="F74" s="98">
        <v>51052</v>
      </c>
      <c r="G74" s="98">
        <v>48536</v>
      </c>
    </row>
    <row r="75" spans="2:14" x14ac:dyDescent="0.2">
      <c r="B75" s="107" t="s">
        <v>115</v>
      </c>
      <c r="C75" s="98">
        <v>0</v>
      </c>
      <c r="D75" s="98">
        <v>0</v>
      </c>
      <c r="E75" s="98">
        <v>0</v>
      </c>
      <c r="F75" s="98">
        <v>-7922</v>
      </c>
      <c r="G75" s="98">
        <v>-8524</v>
      </c>
    </row>
    <row r="76" spans="2:14" x14ac:dyDescent="0.2">
      <c r="B76" s="107" t="s">
        <v>56</v>
      </c>
      <c r="C76" s="98">
        <v>-219562</v>
      </c>
      <c r="D76" s="98">
        <v>-166479</v>
      </c>
      <c r="E76" s="98">
        <v>-181360</v>
      </c>
      <c r="F76" s="98">
        <v>-167633</v>
      </c>
      <c r="G76" s="98">
        <v>-137495</v>
      </c>
    </row>
    <row r="77" spans="2:14" x14ac:dyDescent="0.2">
      <c r="B77" s="107" t="s">
        <v>57</v>
      </c>
      <c r="C77" s="98">
        <v>-83343</v>
      </c>
      <c r="D77" s="98">
        <v>-103782</v>
      </c>
      <c r="E77" s="98">
        <v>-158110</v>
      </c>
      <c r="F77" s="98">
        <v>-208488</v>
      </c>
      <c r="G77" s="98">
        <v>-130994</v>
      </c>
    </row>
    <row r="78" spans="2:14" x14ac:dyDescent="0.2">
      <c r="B78" s="107" t="s">
        <v>58</v>
      </c>
      <c r="C78" s="98">
        <v>-666153</v>
      </c>
      <c r="D78" s="98">
        <v>-853282</v>
      </c>
      <c r="E78" s="98">
        <v>-562331</v>
      </c>
      <c r="F78" s="98">
        <v>-710728</v>
      </c>
      <c r="G78" s="98">
        <v>-651089</v>
      </c>
    </row>
    <row r="79" spans="2:14" x14ac:dyDescent="0.2">
      <c r="B79" s="113" t="s">
        <v>183</v>
      </c>
      <c r="C79" s="112">
        <f>SUM(C72:C78)</f>
        <v>3608275</v>
      </c>
      <c r="D79" s="112">
        <f>SUM(D72:D78)</f>
        <v>3694848</v>
      </c>
      <c r="E79" s="112">
        <f>SUM(E72:E78)</f>
        <v>3679709</v>
      </c>
      <c r="F79" s="112">
        <f>SUM(F72:F78)</f>
        <v>2675164</v>
      </c>
      <c r="G79" s="112">
        <f>SUM(G72:G78)</f>
        <v>3131693</v>
      </c>
    </row>
    <row r="80" spans="2:14" x14ac:dyDescent="0.2">
      <c r="B80" s="113" t="s">
        <v>184</v>
      </c>
      <c r="C80" s="112">
        <f>C71+C79</f>
        <v>4386914</v>
      </c>
      <c r="D80" s="112">
        <f>D71+D79</f>
        <v>4590655</v>
      </c>
      <c r="E80" s="112">
        <f>E71+E79</f>
        <v>4775685</v>
      </c>
      <c r="F80" s="112">
        <f>F71+F79</f>
        <v>3651619</v>
      </c>
      <c r="G80" s="112">
        <f>G71+G79</f>
        <v>4021940</v>
      </c>
    </row>
    <row r="82" spans="1:24" x14ac:dyDescent="0.2">
      <c r="B82" s="96" t="s">
        <v>45</v>
      </c>
      <c r="C82" s="98">
        <v>886193</v>
      </c>
      <c r="D82" s="98">
        <v>485561</v>
      </c>
      <c r="E82" s="98">
        <v>657034</v>
      </c>
      <c r="F82" s="98">
        <v>1178686</v>
      </c>
      <c r="G82" s="98">
        <v>885333</v>
      </c>
    </row>
    <row r="83" spans="1:24" x14ac:dyDescent="0.2">
      <c r="B83" s="96" t="s">
        <v>148</v>
      </c>
      <c r="C83" s="98">
        <v>0</v>
      </c>
      <c r="D83" s="98">
        <v>0</v>
      </c>
      <c r="E83" s="98">
        <v>0</v>
      </c>
      <c r="F83" s="98">
        <v>864171</v>
      </c>
      <c r="G83" s="98" t="s">
        <v>174</v>
      </c>
    </row>
    <row r="84" spans="1:24" x14ac:dyDescent="0.2">
      <c r="B84" s="96" t="s">
        <v>176</v>
      </c>
      <c r="C84" s="99">
        <f>SUM(C82:C83)</f>
        <v>886193</v>
      </c>
      <c r="D84" s="99">
        <f>SUM(D82:D83)</f>
        <v>485561</v>
      </c>
      <c r="E84" s="99">
        <f>SUM(E82:E83)</f>
        <v>657034</v>
      </c>
      <c r="F84" s="99">
        <f>SUM(F82:F83)</f>
        <v>2042857</v>
      </c>
      <c r="G84" s="99">
        <f>SUM(G82:G83)</f>
        <v>885333</v>
      </c>
    </row>
    <row r="86" spans="1:24" x14ac:dyDescent="0.2">
      <c r="A86" s="105"/>
      <c r="B86" s="143" t="s">
        <v>189</v>
      </c>
      <c r="C86" s="105"/>
      <c r="D86" s="105"/>
      <c r="E86" s="105"/>
      <c r="F86" s="105"/>
      <c r="G86" s="105"/>
      <c r="H86" s="105"/>
      <c r="I86" s="106"/>
      <c r="J86" s="106"/>
      <c r="K86" s="106"/>
      <c r="L86" s="106"/>
      <c r="M86" s="106"/>
      <c r="N86" s="106"/>
    </row>
    <row r="87" spans="1:24" x14ac:dyDescent="0.2">
      <c r="A87" s="61"/>
      <c r="B87" s="61"/>
      <c r="C87" s="61"/>
      <c r="D87" s="61"/>
      <c r="E87" s="61"/>
      <c r="F87" s="61"/>
      <c r="G87" s="61"/>
      <c r="H87" s="61"/>
      <c r="I87" s="120"/>
      <c r="J87" s="120"/>
      <c r="K87" s="120"/>
      <c r="L87" s="120"/>
      <c r="M87" s="120"/>
      <c r="N87" s="120"/>
      <c r="Q87" s="61"/>
      <c r="R87" s="61"/>
      <c r="S87" s="61"/>
      <c r="T87" s="61"/>
      <c r="U87" s="61"/>
      <c r="V87" s="61"/>
      <c r="W87" s="61"/>
      <c r="X87" s="61"/>
    </row>
    <row r="88" spans="1:24" x14ac:dyDescent="0.2">
      <c r="A88" s="61"/>
      <c r="B88" s="116" t="s">
        <v>34</v>
      </c>
      <c r="C88" s="117" t="s">
        <v>168</v>
      </c>
      <c r="D88" s="117" t="s">
        <v>166</v>
      </c>
      <c r="E88" s="117" t="s">
        <v>167</v>
      </c>
      <c r="F88" s="118">
        <v>2019</v>
      </c>
      <c r="G88" s="118">
        <v>2020</v>
      </c>
      <c r="H88" s="119"/>
      <c r="I88" s="116"/>
      <c r="J88" s="117">
        <v>2016</v>
      </c>
      <c r="K88" s="117">
        <v>2017</v>
      </c>
      <c r="L88" s="117">
        <v>2018</v>
      </c>
      <c r="M88" s="118">
        <v>2019</v>
      </c>
      <c r="N88" s="118">
        <v>2020</v>
      </c>
      <c r="O88" s="61"/>
      <c r="P88" s="61"/>
      <c r="Q88" s="61"/>
      <c r="R88" s="61"/>
      <c r="S88" s="61"/>
      <c r="T88" s="61"/>
      <c r="U88" s="61"/>
      <c r="V88" s="61"/>
      <c r="W88" s="61"/>
      <c r="X88" s="61"/>
    </row>
    <row r="89" spans="1:24" x14ac:dyDescent="0.2">
      <c r="A89" s="61"/>
      <c r="B89" s="121"/>
      <c r="C89" s="122"/>
      <c r="D89" s="122"/>
      <c r="E89" s="122"/>
      <c r="F89" s="123"/>
      <c r="G89" s="123"/>
      <c r="H89" s="61"/>
      <c r="I89" s="121"/>
      <c r="J89" s="124"/>
      <c r="K89" s="124"/>
      <c r="L89" s="124"/>
      <c r="M89" s="121"/>
      <c r="N89" s="121"/>
      <c r="O89" s="61"/>
      <c r="P89" s="61"/>
      <c r="Q89" s="61"/>
      <c r="R89" s="61"/>
      <c r="S89" s="61"/>
      <c r="T89" s="61"/>
      <c r="U89" s="61"/>
      <c r="V89" s="61"/>
      <c r="W89" s="61"/>
      <c r="X89" s="61"/>
    </row>
    <row r="90" spans="1:24" x14ac:dyDescent="0.2">
      <c r="A90" s="61"/>
      <c r="B90" s="121" t="s">
        <v>35</v>
      </c>
      <c r="C90" s="123">
        <v>383376</v>
      </c>
      <c r="D90" s="123">
        <v>383376</v>
      </c>
      <c r="E90" s="123">
        <v>383376</v>
      </c>
      <c r="F90" s="123">
        <v>383376</v>
      </c>
      <c r="G90" s="123">
        <v>383376</v>
      </c>
      <c r="H90" s="61"/>
      <c r="I90" s="121" t="s">
        <v>49</v>
      </c>
      <c r="J90" s="123">
        <v>2689857</v>
      </c>
      <c r="K90" s="123">
        <v>2848723</v>
      </c>
      <c r="L90" s="123">
        <v>3106770</v>
      </c>
      <c r="M90" s="123">
        <v>3374218</v>
      </c>
      <c r="N90" s="123">
        <v>2430023</v>
      </c>
      <c r="O90" s="61"/>
      <c r="P90" s="61"/>
      <c r="Q90" s="61"/>
      <c r="R90" s="61"/>
      <c r="S90" s="61"/>
      <c r="T90" s="61"/>
      <c r="U90" s="61"/>
      <c r="V90" s="61"/>
      <c r="W90" s="61"/>
      <c r="X90" s="61"/>
    </row>
    <row r="91" spans="1:24" x14ac:dyDescent="0.2">
      <c r="A91" s="61"/>
      <c r="B91" s="121" t="s">
        <v>36</v>
      </c>
      <c r="C91" s="123">
        <v>10867</v>
      </c>
      <c r="D91" s="123">
        <v>11428</v>
      </c>
      <c r="E91" s="123">
        <v>8565</v>
      </c>
      <c r="F91" s="123">
        <v>5588</v>
      </c>
      <c r="G91" s="123">
        <v>7332</v>
      </c>
      <c r="H91" s="61"/>
      <c r="I91" s="121" t="s">
        <v>50</v>
      </c>
      <c r="J91" s="123">
        <v>9315</v>
      </c>
      <c r="K91" s="123">
        <v>9419</v>
      </c>
      <c r="L91" s="123">
        <v>9366</v>
      </c>
      <c r="M91" s="123">
        <v>7866</v>
      </c>
      <c r="N91" s="123">
        <v>7792</v>
      </c>
      <c r="O91" s="61"/>
      <c r="P91" s="61"/>
      <c r="Q91" s="61"/>
      <c r="R91" s="61"/>
      <c r="S91" s="61"/>
      <c r="T91" s="61"/>
      <c r="U91" s="61"/>
      <c r="V91" s="61"/>
      <c r="W91" s="61"/>
      <c r="X91" s="61"/>
    </row>
    <row r="92" spans="1:24" x14ac:dyDescent="0.2">
      <c r="A92" s="61"/>
      <c r="B92" s="121" t="s">
        <v>37</v>
      </c>
      <c r="C92" s="123">
        <v>0</v>
      </c>
      <c r="D92" s="123">
        <v>0</v>
      </c>
      <c r="E92" s="123">
        <v>0</v>
      </c>
      <c r="F92" s="123">
        <v>44219</v>
      </c>
      <c r="G92" s="123">
        <v>34976</v>
      </c>
      <c r="H92" s="61"/>
      <c r="I92" s="125" t="s">
        <v>111</v>
      </c>
      <c r="J92" s="126">
        <f>SUM(J90:J91)</f>
        <v>2699172</v>
      </c>
      <c r="K92" s="126">
        <f>SUM(K90:K91)</f>
        <v>2858142</v>
      </c>
      <c r="L92" s="126">
        <f>SUM(L90:L91)</f>
        <v>3116136</v>
      </c>
      <c r="M92" s="126">
        <v>3382084</v>
      </c>
      <c r="N92" s="126">
        <v>2437815</v>
      </c>
      <c r="O92" s="61"/>
      <c r="P92" s="61"/>
      <c r="Q92" s="61"/>
      <c r="R92" s="77" t="s">
        <v>374</v>
      </c>
      <c r="S92" s="93" t="s">
        <v>165</v>
      </c>
      <c r="T92" s="93" t="s">
        <v>166</v>
      </c>
      <c r="U92" s="93" t="s">
        <v>167</v>
      </c>
      <c r="V92" s="78">
        <v>2019</v>
      </c>
      <c r="W92" s="79">
        <v>2020</v>
      </c>
      <c r="X92" s="61"/>
    </row>
    <row r="93" spans="1:24" x14ac:dyDescent="0.2">
      <c r="A93" s="61"/>
      <c r="B93" s="121" t="s">
        <v>38</v>
      </c>
      <c r="C93" s="123">
        <v>289818</v>
      </c>
      <c r="D93" s="123">
        <v>316241</v>
      </c>
      <c r="E93" s="123">
        <v>415280</v>
      </c>
      <c r="F93" s="123">
        <v>430281</v>
      </c>
      <c r="G93" s="123">
        <v>406850</v>
      </c>
      <c r="H93" s="61"/>
      <c r="I93" s="120"/>
      <c r="J93" s="120"/>
      <c r="K93" s="120"/>
      <c r="L93" s="120"/>
      <c r="M93" s="120"/>
      <c r="N93" s="120"/>
      <c r="O93" s="61"/>
      <c r="P93" s="61"/>
      <c r="Q93" s="61"/>
      <c r="R93" s="75" t="s">
        <v>152</v>
      </c>
      <c r="S93" s="71">
        <f>C100</f>
        <v>778639</v>
      </c>
      <c r="T93" s="71">
        <f>D100</f>
        <v>895807</v>
      </c>
      <c r="U93" s="71">
        <f>E100</f>
        <v>1095976</v>
      </c>
      <c r="V93" s="71">
        <f>F100</f>
        <v>976455</v>
      </c>
      <c r="W93" s="80">
        <f>G100</f>
        <v>890247</v>
      </c>
      <c r="X93" s="61"/>
    </row>
    <row r="94" spans="1:24" x14ac:dyDescent="0.2">
      <c r="A94" s="61"/>
      <c r="B94" s="121" t="s">
        <v>62</v>
      </c>
      <c r="C94" s="123">
        <v>63757</v>
      </c>
      <c r="D94" s="123">
        <v>122982</v>
      </c>
      <c r="E94" s="123">
        <v>119290</v>
      </c>
      <c r="F94" s="123">
        <v>70893</v>
      </c>
      <c r="G94" s="123">
        <v>73539</v>
      </c>
      <c r="H94" s="61"/>
      <c r="I94" s="121" t="s">
        <v>51</v>
      </c>
      <c r="J94" s="135">
        <v>594</v>
      </c>
      <c r="K94" s="135">
        <v>643</v>
      </c>
      <c r="L94" s="135">
        <v>277</v>
      </c>
      <c r="M94" s="135">
        <v>1017</v>
      </c>
      <c r="N94" s="135">
        <v>1030</v>
      </c>
      <c r="O94" s="61"/>
      <c r="P94" s="61"/>
      <c r="Q94" s="61"/>
      <c r="R94" s="90" t="s">
        <v>188</v>
      </c>
      <c r="S94" s="141">
        <f>C108</f>
        <v>3608275</v>
      </c>
      <c r="T94" s="141">
        <f>D108</f>
        <v>3694848</v>
      </c>
      <c r="U94" s="141">
        <f>E108</f>
        <v>3679709</v>
      </c>
      <c r="V94" s="141">
        <f>F108</f>
        <v>2675164</v>
      </c>
      <c r="W94" s="142">
        <f>G108</f>
        <v>3131693</v>
      </c>
      <c r="X94" s="61"/>
    </row>
    <row r="95" spans="1:24" x14ac:dyDescent="0.2">
      <c r="A95" s="61"/>
      <c r="B95" s="121" t="s">
        <v>40</v>
      </c>
      <c r="C95" s="123">
        <v>197318</v>
      </c>
      <c r="D95" s="123">
        <v>214039</v>
      </c>
      <c r="E95" s="123">
        <v>326074</v>
      </c>
      <c r="F95" s="123">
        <v>165283</v>
      </c>
      <c r="G95" s="123">
        <v>119601</v>
      </c>
      <c r="H95" s="61"/>
      <c r="I95" s="121" t="s">
        <v>53</v>
      </c>
      <c r="J95" s="135">
        <v>2038660</v>
      </c>
      <c r="K95" s="135">
        <v>1836823</v>
      </c>
      <c r="L95" s="135">
        <v>1795798</v>
      </c>
      <c r="M95" s="135">
        <v>1092288</v>
      </c>
      <c r="N95" s="135">
        <v>1100293</v>
      </c>
      <c r="O95" s="61"/>
      <c r="P95" s="61"/>
      <c r="Q95" s="61"/>
      <c r="R95" s="73" t="s">
        <v>189</v>
      </c>
      <c r="S95" s="139">
        <f>C110</f>
        <v>4386914</v>
      </c>
      <c r="T95" s="139">
        <f>D110</f>
        <v>4590655</v>
      </c>
      <c r="U95" s="139">
        <f>E110</f>
        <v>4775685</v>
      </c>
      <c r="V95" s="139">
        <f>F110</f>
        <v>3651619</v>
      </c>
      <c r="W95" s="140">
        <f>G110</f>
        <v>4021940</v>
      </c>
      <c r="X95" s="61"/>
    </row>
    <row r="96" spans="1:24" x14ac:dyDescent="0.2">
      <c r="A96" s="61"/>
      <c r="B96" s="127" t="s">
        <v>90</v>
      </c>
      <c r="C96" s="123">
        <v>-84486</v>
      </c>
      <c r="D96" s="123">
        <v>-83537</v>
      </c>
      <c r="E96" s="123">
        <v>-93011</v>
      </c>
      <c r="F96" s="123">
        <v>-24444</v>
      </c>
      <c r="G96" s="123">
        <v>-30506</v>
      </c>
      <c r="H96" s="61"/>
      <c r="I96" s="121" t="s">
        <v>55</v>
      </c>
      <c r="J96" s="135">
        <v>534681</v>
      </c>
      <c r="K96" s="135">
        <v>380608</v>
      </c>
      <c r="L96" s="135">
        <v>520508</v>
      </c>
      <c r="M96" s="135">
        <v>1161043</v>
      </c>
      <c r="N96" s="135">
        <v>674014</v>
      </c>
      <c r="O96" s="61"/>
      <c r="P96" s="61"/>
      <c r="Q96" s="61"/>
      <c r="R96" s="90"/>
      <c r="S96" s="141"/>
      <c r="T96" s="141"/>
      <c r="U96" s="141"/>
      <c r="V96" s="141"/>
      <c r="W96" s="142"/>
      <c r="X96" s="61"/>
    </row>
    <row r="97" spans="1:24" x14ac:dyDescent="0.2">
      <c r="A97" s="61"/>
      <c r="B97" s="127" t="s">
        <v>52</v>
      </c>
      <c r="C97" s="123">
        <v>-75073</v>
      </c>
      <c r="D97" s="123">
        <v>-60373</v>
      </c>
      <c r="E97" s="123">
        <v>-60373</v>
      </c>
      <c r="F97" s="123">
        <v>-60373</v>
      </c>
      <c r="G97" s="123">
        <v>-60373</v>
      </c>
      <c r="H97" s="61"/>
      <c r="I97" s="121" t="s">
        <v>110</v>
      </c>
      <c r="J97" s="135">
        <v>0</v>
      </c>
      <c r="K97" s="135">
        <v>0</v>
      </c>
      <c r="L97" s="135">
        <v>0</v>
      </c>
      <c r="M97" s="135" t="s">
        <v>174</v>
      </c>
      <c r="N97" s="135">
        <v>694121</v>
      </c>
      <c r="O97" s="61"/>
      <c r="P97" s="61"/>
      <c r="Q97" s="61"/>
      <c r="R97" s="75" t="s">
        <v>187</v>
      </c>
      <c r="S97" s="71">
        <f>J92</f>
        <v>2699172</v>
      </c>
      <c r="T97" s="71">
        <f>K92</f>
        <v>2858142</v>
      </c>
      <c r="U97" s="71">
        <f>L92</f>
        <v>3116136</v>
      </c>
      <c r="V97" s="71">
        <f>M92</f>
        <v>3382084</v>
      </c>
      <c r="W97" s="80">
        <f>N92</f>
        <v>2437815</v>
      </c>
      <c r="X97" s="61"/>
    </row>
    <row r="98" spans="1:24" x14ac:dyDescent="0.2">
      <c r="A98" s="61"/>
      <c r="B98" s="127" t="s">
        <v>92</v>
      </c>
      <c r="C98" s="123">
        <v>-6938</v>
      </c>
      <c r="D98" s="123">
        <v>-8349</v>
      </c>
      <c r="E98" s="123">
        <v>-3225</v>
      </c>
      <c r="F98" s="123">
        <v>-3105</v>
      </c>
      <c r="G98" s="123">
        <v>-17810</v>
      </c>
      <c r="H98" s="61"/>
      <c r="I98" s="121" t="s">
        <v>150</v>
      </c>
      <c r="J98" s="135">
        <v>0</v>
      </c>
      <c r="K98" s="135">
        <v>0</v>
      </c>
      <c r="L98" s="135">
        <v>0</v>
      </c>
      <c r="M98" s="135">
        <v>58044</v>
      </c>
      <c r="N98" s="135" t="s">
        <v>174</v>
      </c>
      <c r="O98" s="61"/>
      <c r="P98" s="61"/>
      <c r="Q98" s="61"/>
      <c r="R98" s="90" t="s">
        <v>159</v>
      </c>
      <c r="S98" s="141">
        <f>J101</f>
        <v>1687742</v>
      </c>
      <c r="T98" s="141">
        <f>K101</f>
        <v>1732513</v>
      </c>
      <c r="U98" s="141">
        <f>L101</f>
        <v>1659549</v>
      </c>
      <c r="V98" s="141">
        <f>M101</f>
        <v>269535</v>
      </c>
      <c r="W98" s="142">
        <f>N101</f>
        <v>1584125</v>
      </c>
      <c r="X98" s="61"/>
    </row>
    <row r="99" spans="1:24" x14ac:dyDescent="0.2">
      <c r="A99" s="61"/>
      <c r="B99" s="127" t="s">
        <v>113</v>
      </c>
      <c r="C99" s="123">
        <v>0</v>
      </c>
      <c r="D99" s="123">
        <v>0</v>
      </c>
      <c r="E99" s="123">
        <v>0</v>
      </c>
      <c r="F99" s="123">
        <v>-35263</v>
      </c>
      <c r="G99" s="123">
        <v>-26738</v>
      </c>
      <c r="H99" s="61"/>
      <c r="I99" s="127" t="s">
        <v>45</v>
      </c>
      <c r="J99" s="135">
        <v>-886193</v>
      </c>
      <c r="K99" s="135">
        <v>-485561</v>
      </c>
      <c r="L99" s="135">
        <v>-657034</v>
      </c>
      <c r="M99" s="135">
        <v>-1178686</v>
      </c>
      <c r="N99" s="135">
        <v>-885333</v>
      </c>
      <c r="O99" s="61"/>
      <c r="P99" s="61"/>
      <c r="Q99" s="61"/>
      <c r="R99" s="441" t="s">
        <v>186</v>
      </c>
      <c r="S99" s="442">
        <f>SUM(S97:S98)</f>
        <v>4386914</v>
      </c>
      <c r="T99" s="442">
        <f>SUM(T97:T98)</f>
        <v>4590655</v>
      </c>
      <c r="U99" s="442">
        <f>SUM(U97:U98)</f>
        <v>4775685</v>
      </c>
      <c r="V99" s="442">
        <f>SUM(V97:V98)</f>
        <v>3651619</v>
      </c>
      <c r="W99" s="443">
        <f>SUM(W97:W98)</f>
        <v>4021940</v>
      </c>
      <c r="X99" s="61"/>
    </row>
    <row r="100" spans="1:24" ht="16" customHeight="1" x14ac:dyDescent="0.2">
      <c r="A100" s="61"/>
      <c r="B100" s="128" t="s">
        <v>182</v>
      </c>
      <c r="C100" s="129">
        <f>SUM(C90:C99)</f>
        <v>778639</v>
      </c>
      <c r="D100" s="129">
        <f>SUM(D90:D99)</f>
        <v>895807</v>
      </c>
      <c r="E100" s="129">
        <f>SUM(E90:E99)</f>
        <v>1095976</v>
      </c>
      <c r="F100" s="129">
        <f>SUM(F90:F99)</f>
        <v>976455</v>
      </c>
      <c r="G100" s="129">
        <f>SUM(G90:G99)</f>
        <v>890247</v>
      </c>
      <c r="H100" s="61"/>
      <c r="I100" s="127" t="s">
        <v>148</v>
      </c>
      <c r="J100" s="135">
        <v>0</v>
      </c>
      <c r="K100" s="135">
        <v>0</v>
      </c>
      <c r="L100" s="135">
        <v>0</v>
      </c>
      <c r="M100" s="135">
        <v>-864171</v>
      </c>
      <c r="N100" s="135" t="s">
        <v>174</v>
      </c>
      <c r="O100" s="61"/>
      <c r="P100" s="61"/>
      <c r="Q100" s="61"/>
      <c r="R100" s="61"/>
      <c r="S100" s="71"/>
      <c r="T100" s="71"/>
      <c r="U100" s="71"/>
      <c r="V100" s="71"/>
      <c r="W100" s="71"/>
      <c r="X100" s="61"/>
    </row>
    <row r="101" spans="1:24" x14ac:dyDescent="0.2">
      <c r="A101" s="61"/>
      <c r="B101" s="121" t="s">
        <v>42</v>
      </c>
      <c r="C101" s="123">
        <v>4284011</v>
      </c>
      <c r="D101" s="123">
        <v>4643938</v>
      </c>
      <c r="E101" s="123">
        <v>4306304</v>
      </c>
      <c r="F101" s="123">
        <v>3636663</v>
      </c>
      <c r="G101" s="123">
        <v>3940793</v>
      </c>
      <c r="H101" s="61"/>
      <c r="I101" s="130" t="s">
        <v>185</v>
      </c>
      <c r="J101" s="136">
        <f>SUM(J94:J100)</f>
        <v>1687742</v>
      </c>
      <c r="K101" s="136">
        <f>SUM(K94:K100)</f>
        <v>1732513</v>
      </c>
      <c r="L101" s="136">
        <f>SUM(L94:L100)</f>
        <v>1659549</v>
      </c>
      <c r="M101" s="136">
        <f>SUM(M94:M100)</f>
        <v>269535</v>
      </c>
      <c r="N101" s="136">
        <f>SUM(N94:N100)</f>
        <v>1584125</v>
      </c>
      <c r="O101" s="61"/>
      <c r="P101" s="61"/>
      <c r="Q101" s="61"/>
      <c r="R101" s="61"/>
      <c r="S101" s="71"/>
      <c r="T101" s="71"/>
      <c r="U101" s="71"/>
      <c r="V101" s="71"/>
      <c r="W101" s="71"/>
      <c r="X101" s="61"/>
    </row>
    <row r="102" spans="1:24" x14ac:dyDescent="0.2">
      <c r="A102" s="61"/>
      <c r="B102" s="121" t="s">
        <v>43</v>
      </c>
      <c r="C102" s="123">
        <v>103420</v>
      </c>
      <c r="D102" s="123">
        <v>133832</v>
      </c>
      <c r="E102" s="123">
        <v>215007</v>
      </c>
      <c r="F102" s="123">
        <v>82220</v>
      </c>
      <c r="G102" s="123">
        <v>70466</v>
      </c>
      <c r="H102" s="61"/>
      <c r="I102" s="120"/>
      <c r="J102" s="137"/>
      <c r="K102" s="137"/>
      <c r="L102" s="137"/>
      <c r="M102" s="137"/>
      <c r="N102" s="137"/>
      <c r="O102" s="61"/>
      <c r="P102" s="61"/>
      <c r="Q102" s="61"/>
      <c r="R102" s="61"/>
      <c r="S102" s="71"/>
      <c r="T102" s="71"/>
      <c r="U102" s="71"/>
      <c r="V102" s="71"/>
      <c r="W102" s="71"/>
      <c r="X102" s="61"/>
    </row>
    <row r="103" spans="1:24" x14ac:dyDescent="0.2">
      <c r="A103" s="61"/>
      <c r="B103" s="121" t="s">
        <v>44</v>
      </c>
      <c r="C103" s="123">
        <v>189902</v>
      </c>
      <c r="D103" s="123">
        <v>40621</v>
      </c>
      <c r="E103" s="123">
        <v>60199</v>
      </c>
      <c r="F103" s="123">
        <v>51052</v>
      </c>
      <c r="G103" s="123">
        <v>48536</v>
      </c>
      <c r="H103" s="61"/>
      <c r="I103" s="134" t="s">
        <v>186</v>
      </c>
      <c r="J103" s="138">
        <f>J92+J101</f>
        <v>4386914</v>
      </c>
      <c r="K103" s="138">
        <f>K92+K101</f>
        <v>4590655</v>
      </c>
      <c r="L103" s="138">
        <f>L92+L101</f>
        <v>4775685</v>
      </c>
      <c r="M103" s="138">
        <f>M92+M101</f>
        <v>3651619</v>
      </c>
      <c r="N103" s="138">
        <f>N92+N101</f>
        <v>4021940</v>
      </c>
      <c r="O103" s="61"/>
      <c r="P103" s="61"/>
      <c r="Q103" s="61"/>
      <c r="R103" s="560" t="s">
        <v>173</v>
      </c>
      <c r="S103" s="560"/>
      <c r="T103" s="560"/>
      <c r="U103" s="560"/>
      <c r="V103" s="560"/>
      <c r="W103" s="560"/>
      <c r="X103" s="61"/>
    </row>
    <row r="104" spans="1:24" x14ac:dyDescent="0.2">
      <c r="A104" s="61"/>
      <c r="B104" s="127" t="s">
        <v>115</v>
      </c>
      <c r="C104" s="123">
        <v>0</v>
      </c>
      <c r="D104" s="123">
        <v>0</v>
      </c>
      <c r="E104" s="123">
        <v>0</v>
      </c>
      <c r="F104" s="123">
        <v>-7922</v>
      </c>
      <c r="G104" s="123">
        <v>-8524</v>
      </c>
      <c r="H104" s="61"/>
      <c r="I104" s="120"/>
      <c r="J104" s="137"/>
      <c r="K104" s="137"/>
      <c r="L104" s="137"/>
      <c r="M104" s="137"/>
      <c r="N104" s="137"/>
      <c r="O104" s="61"/>
      <c r="P104" s="61"/>
      <c r="Q104" s="61"/>
      <c r="R104" s="560"/>
      <c r="S104" s="560"/>
      <c r="T104" s="560"/>
      <c r="U104" s="560"/>
      <c r="V104" s="560"/>
      <c r="W104" s="560"/>
      <c r="X104" s="61"/>
    </row>
    <row r="105" spans="1:24" x14ac:dyDescent="0.2">
      <c r="A105" s="61"/>
      <c r="B105" s="127" t="s">
        <v>56</v>
      </c>
      <c r="C105" s="123">
        <v>-219562</v>
      </c>
      <c r="D105" s="123">
        <v>-166479</v>
      </c>
      <c r="E105" s="123">
        <v>-181360</v>
      </c>
      <c r="F105" s="123">
        <v>-167633</v>
      </c>
      <c r="G105" s="123">
        <v>-137495</v>
      </c>
      <c r="H105" s="61"/>
      <c r="I105" s="120"/>
      <c r="J105" s="120"/>
      <c r="K105" s="120"/>
      <c r="L105" s="120"/>
      <c r="M105" s="120"/>
      <c r="N105" s="120"/>
      <c r="O105" s="61"/>
      <c r="P105" s="61"/>
      <c r="Q105" s="61"/>
      <c r="R105" s="195"/>
      <c r="S105" s="195"/>
      <c r="T105" s="195"/>
      <c r="U105" s="195"/>
      <c r="V105" s="195"/>
      <c r="W105" s="195"/>
      <c r="X105" s="61"/>
    </row>
    <row r="106" spans="1:24" x14ac:dyDescent="0.2">
      <c r="A106" s="61"/>
      <c r="B106" s="127" t="s">
        <v>57</v>
      </c>
      <c r="C106" s="123">
        <v>-83343</v>
      </c>
      <c r="D106" s="123">
        <v>-103782</v>
      </c>
      <c r="E106" s="123">
        <v>-158110</v>
      </c>
      <c r="F106" s="123">
        <v>-208488</v>
      </c>
      <c r="G106" s="123">
        <v>-130994</v>
      </c>
      <c r="H106" s="61"/>
      <c r="I106" s="120"/>
      <c r="J106" s="120"/>
      <c r="K106" s="120"/>
      <c r="L106" s="120"/>
      <c r="M106" s="120"/>
      <c r="N106" s="120"/>
      <c r="O106" s="61"/>
      <c r="P106" s="61"/>
      <c r="Q106" s="61"/>
      <c r="R106" s="444" t="s">
        <v>172</v>
      </c>
      <c r="S106" s="246" t="s">
        <v>165</v>
      </c>
      <c r="T106" s="246" t="s">
        <v>166</v>
      </c>
      <c r="U106" s="246" t="s">
        <v>167</v>
      </c>
      <c r="V106" s="247">
        <v>2019</v>
      </c>
      <c r="W106" s="445">
        <v>2020</v>
      </c>
      <c r="X106" s="61"/>
    </row>
    <row r="107" spans="1:24" x14ac:dyDescent="0.2">
      <c r="A107" s="61"/>
      <c r="B107" s="127" t="s">
        <v>58</v>
      </c>
      <c r="C107" s="123">
        <v>-666153</v>
      </c>
      <c r="D107" s="123">
        <v>-853282</v>
      </c>
      <c r="E107" s="123">
        <v>-562331</v>
      </c>
      <c r="F107" s="123">
        <v>-710728</v>
      </c>
      <c r="G107" s="123">
        <v>-651089</v>
      </c>
      <c r="H107" s="61"/>
      <c r="I107" s="120"/>
      <c r="J107" s="120"/>
      <c r="K107" s="120"/>
      <c r="L107" s="120"/>
      <c r="M107" s="120"/>
      <c r="N107" s="120"/>
      <c r="O107" s="61"/>
      <c r="P107" s="61"/>
      <c r="Q107" s="61"/>
      <c r="R107" s="75" t="s">
        <v>152</v>
      </c>
      <c r="S107" s="71">
        <v>0</v>
      </c>
      <c r="T107" s="71">
        <f t="shared" ref="T107:W109" si="0">T93-S93</f>
        <v>117168</v>
      </c>
      <c r="U107" s="71">
        <f t="shared" si="0"/>
        <v>200169</v>
      </c>
      <c r="V107" s="71">
        <f t="shared" si="0"/>
        <v>-119521</v>
      </c>
      <c r="W107" s="80">
        <f t="shared" si="0"/>
        <v>-86208</v>
      </c>
      <c r="X107" s="61"/>
    </row>
    <row r="108" spans="1:24" x14ac:dyDescent="0.2">
      <c r="A108" s="61"/>
      <c r="B108" s="131" t="s">
        <v>183</v>
      </c>
      <c r="C108" s="129">
        <f>SUM(C101:C107)</f>
        <v>3608275</v>
      </c>
      <c r="D108" s="129">
        <f>SUM(D101:D107)</f>
        <v>3694848</v>
      </c>
      <c r="E108" s="129">
        <f>SUM(E101:E107)</f>
        <v>3679709</v>
      </c>
      <c r="F108" s="129">
        <f>SUM(F101:F107)</f>
        <v>2675164</v>
      </c>
      <c r="G108" s="129">
        <f>SUM(G101:G107)</f>
        <v>3131693</v>
      </c>
      <c r="H108" s="61"/>
      <c r="I108" s="120"/>
      <c r="J108" s="120"/>
      <c r="K108" s="120"/>
      <c r="L108" s="120"/>
      <c r="M108" s="120"/>
      <c r="N108" s="120"/>
      <c r="O108" s="61"/>
      <c r="P108" s="61"/>
      <c r="Q108" s="61"/>
      <c r="R108" s="90" t="s">
        <v>188</v>
      </c>
      <c r="S108" s="141">
        <v>0</v>
      </c>
      <c r="T108" s="141">
        <f t="shared" si="0"/>
        <v>86573</v>
      </c>
      <c r="U108" s="141">
        <f t="shared" si="0"/>
        <v>-15139</v>
      </c>
      <c r="V108" s="141">
        <f t="shared" si="0"/>
        <v>-1004545</v>
      </c>
      <c r="W108" s="142">
        <f t="shared" si="0"/>
        <v>456529</v>
      </c>
      <c r="X108" s="61"/>
    </row>
    <row r="109" spans="1:24" x14ac:dyDescent="0.2">
      <c r="A109" s="61"/>
      <c r="B109" s="61"/>
      <c r="C109" s="61"/>
      <c r="D109" s="61"/>
      <c r="E109" s="61"/>
      <c r="F109" s="61"/>
      <c r="G109" s="61"/>
      <c r="H109" s="61"/>
      <c r="I109" s="120"/>
      <c r="J109" s="120"/>
      <c r="K109" s="120"/>
      <c r="L109" s="120"/>
      <c r="M109" s="120"/>
      <c r="N109" s="120"/>
      <c r="O109" s="61"/>
      <c r="P109" s="61"/>
      <c r="Q109" s="61"/>
      <c r="R109" s="75" t="s">
        <v>189</v>
      </c>
      <c r="S109" s="71">
        <v>0</v>
      </c>
      <c r="T109" s="71">
        <f t="shared" si="0"/>
        <v>203741</v>
      </c>
      <c r="U109" s="71">
        <f t="shared" si="0"/>
        <v>185030</v>
      </c>
      <c r="V109" s="71">
        <f t="shared" si="0"/>
        <v>-1124066</v>
      </c>
      <c r="W109" s="80">
        <f t="shared" si="0"/>
        <v>370321</v>
      </c>
      <c r="X109" s="61"/>
    </row>
    <row r="110" spans="1:24" x14ac:dyDescent="0.2">
      <c r="A110" s="61"/>
      <c r="B110" s="132" t="s">
        <v>184</v>
      </c>
      <c r="C110" s="133">
        <f>C100+C108</f>
        <v>4386914</v>
      </c>
      <c r="D110" s="133">
        <f>D100+D108</f>
        <v>4590655</v>
      </c>
      <c r="E110" s="133">
        <f>E100+E108</f>
        <v>4775685</v>
      </c>
      <c r="F110" s="133">
        <f>F100+F108</f>
        <v>3651619</v>
      </c>
      <c r="G110" s="133">
        <f>G100+G108</f>
        <v>4021940</v>
      </c>
      <c r="H110" s="61"/>
      <c r="I110" s="120"/>
      <c r="J110" s="120"/>
      <c r="K110" s="120"/>
      <c r="L110" s="120"/>
      <c r="M110" s="120"/>
      <c r="N110" s="120"/>
      <c r="O110" s="61"/>
      <c r="P110" s="61"/>
      <c r="Q110" s="61"/>
      <c r="R110" s="90" t="s">
        <v>187</v>
      </c>
      <c r="S110" s="141">
        <v>0</v>
      </c>
      <c r="T110" s="141">
        <f t="shared" ref="T110:W111" si="1">T97-S97</f>
        <v>158970</v>
      </c>
      <c r="U110" s="141">
        <f t="shared" si="1"/>
        <v>257994</v>
      </c>
      <c r="V110" s="141">
        <f t="shared" si="1"/>
        <v>265948</v>
      </c>
      <c r="W110" s="142">
        <f t="shared" si="1"/>
        <v>-944269</v>
      </c>
      <c r="X110" s="61"/>
    </row>
    <row r="111" spans="1:24" x14ac:dyDescent="0.2">
      <c r="A111" s="61"/>
      <c r="B111" s="61"/>
      <c r="C111" s="61"/>
      <c r="D111" s="61"/>
      <c r="E111" s="61"/>
      <c r="F111" s="61"/>
      <c r="G111" s="61"/>
      <c r="H111" s="61"/>
      <c r="I111" s="120"/>
      <c r="J111" s="120"/>
      <c r="K111" s="120"/>
      <c r="L111" s="120"/>
      <c r="M111" s="120"/>
      <c r="N111" s="120"/>
      <c r="O111" s="61"/>
      <c r="P111" s="61"/>
      <c r="Q111" s="61"/>
      <c r="R111" s="76" t="s">
        <v>159</v>
      </c>
      <c r="S111" s="81">
        <v>0</v>
      </c>
      <c r="T111" s="81">
        <f t="shared" si="1"/>
        <v>44771</v>
      </c>
      <c r="U111" s="81">
        <f t="shared" si="1"/>
        <v>-72964</v>
      </c>
      <c r="V111" s="81">
        <f t="shared" si="1"/>
        <v>-1390014</v>
      </c>
      <c r="W111" s="82">
        <f t="shared" si="1"/>
        <v>1314590</v>
      </c>
      <c r="X111" s="61"/>
    </row>
    <row r="112" spans="1:24" x14ac:dyDescent="0.2">
      <c r="A112" s="61"/>
      <c r="B112" s="121" t="s">
        <v>170</v>
      </c>
      <c r="C112" s="61"/>
      <c r="D112" s="61"/>
      <c r="E112" s="61"/>
      <c r="F112" s="61"/>
      <c r="G112" s="61"/>
      <c r="H112" s="61"/>
      <c r="I112" s="120"/>
      <c r="J112" s="120"/>
      <c r="K112" s="120"/>
      <c r="L112" s="120"/>
      <c r="M112" s="120"/>
      <c r="N112" s="120"/>
      <c r="O112" s="61"/>
      <c r="P112" s="61"/>
      <c r="Q112" s="61"/>
      <c r="R112" s="61"/>
      <c r="S112" s="61"/>
      <c r="T112" s="61"/>
      <c r="U112" s="61"/>
      <c r="V112" s="61"/>
      <c r="W112" s="61"/>
      <c r="X112" s="61"/>
    </row>
    <row r="113" spans="1:24" x14ac:dyDescent="0.2">
      <c r="B113" s="121" t="s">
        <v>169</v>
      </c>
      <c r="C113" s="61"/>
      <c r="D113" s="61"/>
      <c r="E113" s="61"/>
      <c r="F113" s="61"/>
      <c r="G113" s="61"/>
      <c r="H113" s="61"/>
      <c r="I113" s="120"/>
      <c r="J113" s="120"/>
      <c r="K113" s="120"/>
      <c r="L113" s="120"/>
      <c r="M113" s="120"/>
      <c r="N113" s="120"/>
      <c r="O113" s="61"/>
      <c r="P113" s="61"/>
      <c r="Q113" s="61"/>
      <c r="R113" s="77" t="s">
        <v>171</v>
      </c>
      <c r="S113" s="93" t="s">
        <v>165</v>
      </c>
      <c r="T113" s="93" t="s">
        <v>166</v>
      </c>
      <c r="U113" s="93" t="s">
        <v>167</v>
      </c>
      <c r="V113" s="78">
        <v>2019</v>
      </c>
      <c r="W113" s="79">
        <v>2020</v>
      </c>
      <c r="X113" s="61"/>
    </row>
    <row r="114" spans="1:24" x14ac:dyDescent="0.2">
      <c r="A114" s="61"/>
      <c r="B114" s="61"/>
      <c r="C114" s="61"/>
      <c r="D114" s="61"/>
      <c r="E114" s="61"/>
      <c r="F114" s="61"/>
      <c r="G114" s="61"/>
      <c r="H114" s="61"/>
      <c r="I114" s="120"/>
      <c r="J114" s="120"/>
      <c r="K114" s="120"/>
      <c r="L114" s="120"/>
      <c r="M114" s="120"/>
      <c r="N114" s="120"/>
      <c r="O114" s="61"/>
      <c r="P114" s="61"/>
      <c r="Q114" s="61"/>
      <c r="R114" s="75" t="s">
        <v>152</v>
      </c>
      <c r="S114" s="71">
        <v>0</v>
      </c>
      <c r="T114" s="72">
        <f t="shared" ref="T114:W116" si="2">(T93-S93)/S93</f>
        <v>0.15047794934494677</v>
      </c>
      <c r="U114" s="72">
        <f t="shared" si="2"/>
        <v>0.22345103353735793</v>
      </c>
      <c r="V114" s="72">
        <f t="shared" si="2"/>
        <v>-0.10905439535172302</v>
      </c>
      <c r="W114" s="84">
        <f t="shared" si="2"/>
        <v>-8.8286710601102963E-2</v>
      </c>
      <c r="X114" s="61"/>
    </row>
    <row r="115" spans="1:24" ht="16" customHeight="1" x14ac:dyDescent="0.2">
      <c r="Q115" s="61"/>
      <c r="R115" s="90" t="s">
        <v>188</v>
      </c>
      <c r="S115" s="141">
        <v>0</v>
      </c>
      <c r="T115" s="91">
        <f t="shared" si="2"/>
        <v>2.3992905197081707E-2</v>
      </c>
      <c r="U115" s="91">
        <f t="shared" si="2"/>
        <v>-4.0973268724450911E-3</v>
      </c>
      <c r="V115" s="91">
        <f t="shared" si="2"/>
        <v>-0.27299577222003152</v>
      </c>
      <c r="W115" s="92">
        <f t="shared" si="2"/>
        <v>0.17065458416755011</v>
      </c>
      <c r="X115" s="61"/>
    </row>
    <row r="116" spans="1:24" x14ac:dyDescent="0.2">
      <c r="Q116" s="61"/>
      <c r="R116" s="75" t="s">
        <v>189</v>
      </c>
      <c r="S116" s="71">
        <v>0</v>
      </c>
      <c r="T116" s="72">
        <f t="shared" si="2"/>
        <v>4.6442898128388199E-2</v>
      </c>
      <c r="U116" s="72">
        <f t="shared" si="2"/>
        <v>4.0305795142523235E-2</v>
      </c>
      <c r="V116" s="72">
        <f t="shared" si="2"/>
        <v>-0.23537272663502723</v>
      </c>
      <c r="W116" s="84">
        <f t="shared" si="2"/>
        <v>0.10141282537964667</v>
      </c>
      <c r="X116" s="61"/>
    </row>
    <row r="117" spans="1:24" x14ac:dyDescent="0.2">
      <c r="Q117" s="61"/>
      <c r="R117" s="90" t="s">
        <v>187</v>
      </c>
      <c r="S117" s="141">
        <v>0</v>
      </c>
      <c r="T117" s="91">
        <f>(T97-S97)/S97</f>
        <v>5.8895839168456102E-2</v>
      </c>
      <c r="U117" s="91">
        <f t="shared" ref="U117:W118" si="3">(U97-T97)/T97</f>
        <v>9.0266333863048095E-2</v>
      </c>
      <c r="V117" s="91">
        <f t="shared" si="3"/>
        <v>8.5345440635453657E-2</v>
      </c>
      <c r="W117" s="92">
        <f t="shared" si="3"/>
        <v>-0.2791973824423048</v>
      </c>
      <c r="X117" s="61"/>
    </row>
    <row r="118" spans="1:24" x14ac:dyDescent="0.2">
      <c r="J118" s="101">
        <v>1246952</v>
      </c>
      <c r="Q118" s="61"/>
      <c r="R118" s="76" t="s">
        <v>159</v>
      </c>
      <c r="S118" s="81">
        <v>0</v>
      </c>
      <c r="T118" s="85">
        <f>(T98-S98)/S98</f>
        <v>2.65271587718976E-2</v>
      </c>
      <c r="U118" s="85">
        <f t="shared" si="3"/>
        <v>-4.2114546903832754E-2</v>
      </c>
      <c r="V118" s="85">
        <f t="shared" si="3"/>
        <v>-0.83758539217582606</v>
      </c>
      <c r="W118" s="86">
        <f t="shared" si="3"/>
        <v>4.8772515628768067</v>
      </c>
      <c r="X118" s="61"/>
    </row>
    <row r="119" spans="1:24" x14ac:dyDescent="0.2">
      <c r="J119" s="101">
        <f>1687742-886193</f>
        <v>801549</v>
      </c>
      <c r="Q119" s="61"/>
      <c r="R119" s="561" t="s">
        <v>173</v>
      </c>
      <c r="S119" s="561"/>
      <c r="T119" s="561"/>
      <c r="U119" s="561"/>
      <c r="V119" s="561"/>
      <c r="W119" s="561"/>
      <c r="X119" s="61"/>
    </row>
    <row r="120" spans="1:24" x14ac:dyDescent="0.2">
      <c r="J120" s="101">
        <f>J119-J118</f>
        <v>-445403</v>
      </c>
      <c r="Q120" s="61"/>
      <c r="R120" s="560"/>
      <c r="S120" s="560"/>
      <c r="T120" s="560"/>
      <c r="U120" s="560"/>
      <c r="V120" s="560"/>
      <c r="W120" s="560"/>
      <c r="X120" s="61"/>
    </row>
    <row r="121" spans="1:24" x14ac:dyDescent="0.2">
      <c r="J121" s="101">
        <f>J118-J119</f>
        <v>445403</v>
      </c>
      <c r="Q121" s="61"/>
      <c r="R121" s="560"/>
      <c r="S121" s="560"/>
      <c r="T121" s="560"/>
      <c r="U121" s="560"/>
      <c r="V121" s="560"/>
      <c r="W121" s="560"/>
    </row>
    <row r="122" spans="1:24" x14ac:dyDescent="0.2">
      <c r="R122" s="61"/>
      <c r="S122" s="61"/>
      <c r="T122" s="61"/>
      <c r="U122" s="61"/>
      <c r="V122" s="61"/>
      <c r="W122" s="61"/>
    </row>
    <row r="123" spans="1:24" x14ac:dyDescent="0.2">
      <c r="R123" s="560" t="s">
        <v>173</v>
      </c>
      <c r="S123" s="560"/>
      <c r="T123" s="560"/>
      <c r="U123" s="560"/>
      <c r="V123" s="560"/>
      <c r="W123" s="560"/>
    </row>
    <row r="124" spans="1:24" x14ac:dyDescent="0.2">
      <c r="R124" s="560"/>
      <c r="S124" s="560"/>
      <c r="T124" s="560"/>
      <c r="U124" s="560"/>
      <c r="V124" s="560"/>
      <c r="W124" s="560"/>
    </row>
  </sheetData>
  <mergeCells count="3">
    <mergeCell ref="R123:W124"/>
    <mergeCell ref="R119:W121"/>
    <mergeCell ref="R103:W10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A93CB-1E61-7940-A558-C3F53EF6DD45}">
  <dimension ref="A1:H29"/>
  <sheetViews>
    <sheetView topLeftCell="A8" zoomScale="130" zoomScaleNormal="130" workbookViewId="0">
      <selection activeCell="C28" sqref="C28"/>
    </sheetView>
  </sheetViews>
  <sheetFormatPr baseColWidth="10" defaultRowHeight="16" x14ac:dyDescent="0.2"/>
  <cols>
    <col min="1" max="1" width="3.6640625" customWidth="1"/>
    <col min="2" max="2" width="48.1640625" customWidth="1"/>
    <col min="3" max="3" width="49.5" customWidth="1"/>
    <col min="4" max="7" width="6.5" customWidth="1"/>
  </cols>
  <sheetData>
    <row r="1" spans="1:8" x14ac:dyDescent="0.2">
      <c r="A1" s="61"/>
      <c r="B1" s="61"/>
      <c r="C1" s="61"/>
      <c r="D1" s="61"/>
    </row>
    <row r="2" spans="1:8" ht="19" x14ac:dyDescent="0.25">
      <c r="A2" s="61"/>
      <c r="B2" s="418" t="s">
        <v>351</v>
      </c>
      <c r="C2" s="419" t="s">
        <v>352</v>
      </c>
      <c r="D2" s="61"/>
    </row>
    <row r="3" spans="1:8" s="197" customFormat="1" ht="75" customHeight="1" x14ac:dyDescent="0.2">
      <c r="A3" s="283"/>
      <c r="B3" s="413" t="s">
        <v>354</v>
      </c>
      <c r="C3" s="417" t="s">
        <v>356</v>
      </c>
      <c r="D3" s="283"/>
    </row>
    <row r="4" spans="1:8" ht="55" customHeight="1" x14ac:dyDescent="0.2">
      <c r="A4" s="61"/>
      <c r="B4" s="420" t="s">
        <v>353</v>
      </c>
      <c r="C4" s="421"/>
      <c r="D4" s="61"/>
    </row>
    <row r="5" spans="1:8" ht="63" customHeight="1" x14ac:dyDescent="0.2">
      <c r="A5" s="61"/>
      <c r="B5" s="414" t="s">
        <v>355</v>
      </c>
      <c r="C5" s="267"/>
      <c r="D5" s="61"/>
    </row>
    <row r="6" spans="1:8" ht="19" x14ac:dyDescent="0.25">
      <c r="A6" s="61"/>
      <c r="B6" s="418" t="s">
        <v>357</v>
      </c>
      <c r="C6" s="419" t="s">
        <v>358</v>
      </c>
      <c r="D6" s="61"/>
    </row>
    <row r="7" spans="1:8" ht="61" customHeight="1" x14ac:dyDescent="0.2">
      <c r="A7" s="61"/>
      <c r="B7" s="413" t="s">
        <v>359</v>
      </c>
      <c r="C7" s="416" t="s">
        <v>362</v>
      </c>
      <c r="D7" s="61"/>
    </row>
    <row r="8" spans="1:8" ht="60" customHeight="1" x14ac:dyDescent="0.2">
      <c r="A8" s="61"/>
      <c r="B8" s="422" t="s">
        <v>360</v>
      </c>
      <c r="C8" s="423" t="s">
        <v>363</v>
      </c>
      <c r="D8" s="61"/>
    </row>
    <row r="9" spans="1:8" ht="60" customHeight="1" x14ac:dyDescent="0.2">
      <c r="A9" s="61"/>
      <c r="B9" s="415" t="s">
        <v>361</v>
      </c>
      <c r="C9" s="412"/>
      <c r="D9" s="61"/>
    </row>
    <row r="10" spans="1:8" x14ac:dyDescent="0.2">
      <c r="A10" s="61"/>
      <c r="B10" s="61"/>
      <c r="C10" s="61"/>
      <c r="D10" s="61"/>
    </row>
    <row r="11" spans="1:8" x14ac:dyDescent="0.2">
      <c r="A11" s="61"/>
      <c r="B11" s="61"/>
      <c r="C11" s="61"/>
      <c r="D11" s="61"/>
    </row>
    <row r="12" spans="1:8" x14ac:dyDescent="0.2">
      <c r="A12" s="61"/>
      <c r="B12" s="61"/>
      <c r="C12" s="61"/>
      <c r="D12" s="61"/>
    </row>
    <row r="13" spans="1:8" x14ac:dyDescent="0.2">
      <c r="B13" s="61"/>
      <c r="C13" s="61"/>
      <c r="D13" s="61"/>
      <c r="E13" s="61"/>
      <c r="F13" s="61"/>
      <c r="G13" s="61"/>
      <c r="H13" s="61"/>
    </row>
    <row r="14" spans="1:8" x14ac:dyDescent="0.2">
      <c r="A14" s="61"/>
      <c r="B14" s="61"/>
      <c r="C14" s="61"/>
      <c r="D14" s="61"/>
      <c r="E14" s="61"/>
      <c r="F14" s="61"/>
      <c r="G14" s="61"/>
      <c r="H14" s="61"/>
    </row>
    <row r="15" spans="1:8" x14ac:dyDescent="0.2">
      <c r="A15" s="61"/>
      <c r="B15" s="531" t="s">
        <v>364</v>
      </c>
      <c r="C15" s="533" t="s">
        <v>370</v>
      </c>
      <c r="D15" s="533"/>
      <c r="E15" s="424"/>
      <c r="F15" s="534" t="s">
        <v>371</v>
      </c>
      <c r="G15" s="534"/>
      <c r="H15" s="61"/>
    </row>
    <row r="16" spans="1:8" x14ac:dyDescent="0.2">
      <c r="A16" s="61"/>
      <c r="B16" s="532"/>
      <c r="C16" s="435">
        <v>1</v>
      </c>
      <c r="D16" s="436">
        <v>2</v>
      </c>
      <c r="E16" s="429">
        <v>3</v>
      </c>
      <c r="F16" s="430">
        <v>4</v>
      </c>
      <c r="G16" s="431">
        <v>5</v>
      </c>
      <c r="H16" s="61"/>
    </row>
    <row r="17" spans="1:8" ht="18" customHeight="1" x14ac:dyDescent="0.2">
      <c r="A17" s="61"/>
      <c r="B17" s="437" t="s">
        <v>365</v>
      </c>
      <c r="C17" s="267"/>
      <c r="D17" s="284"/>
      <c r="E17" s="284"/>
      <c r="F17" s="425" t="s">
        <v>372</v>
      </c>
      <c r="G17" s="427"/>
      <c r="H17" s="61"/>
    </row>
    <row r="18" spans="1:8" ht="18" customHeight="1" x14ac:dyDescent="0.2">
      <c r="A18" s="61"/>
      <c r="B18" s="438" t="s">
        <v>366</v>
      </c>
      <c r="C18" s="421"/>
      <c r="D18" s="318"/>
      <c r="E18" s="318"/>
      <c r="F18" s="426"/>
      <c r="G18" s="428" t="s">
        <v>372</v>
      </c>
      <c r="H18" s="61"/>
    </row>
    <row r="19" spans="1:8" ht="18" customHeight="1" x14ac:dyDescent="0.2">
      <c r="A19" s="61"/>
      <c r="B19" s="439" t="s">
        <v>367</v>
      </c>
      <c r="C19" s="267"/>
      <c r="D19" s="284"/>
      <c r="E19" s="284"/>
      <c r="F19" s="425" t="s">
        <v>372</v>
      </c>
      <c r="G19" s="427"/>
      <c r="H19" s="61"/>
    </row>
    <row r="20" spans="1:8" ht="18" customHeight="1" x14ac:dyDescent="0.2">
      <c r="A20" s="61"/>
      <c r="B20" s="438" t="s">
        <v>368</v>
      </c>
      <c r="C20" s="421"/>
      <c r="D20" s="318"/>
      <c r="E20" s="318"/>
      <c r="F20" s="426"/>
      <c r="G20" s="428" t="s">
        <v>372</v>
      </c>
      <c r="H20" s="61"/>
    </row>
    <row r="21" spans="1:8" ht="18" customHeight="1" x14ac:dyDescent="0.2">
      <c r="A21" s="61"/>
      <c r="B21" s="439" t="s">
        <v>369</v>
      </c>
      <c r="C21" s="267"/>
      <c r="D21" s="284"/>
      <c r="E21" s="284"/>
      <c r="F21" s="425"/>
      <c r="G21" s="427" t="s">
        <v>372</v>
      </c>
      <c r="H21" s="61"/>
    </row>
    <row r="22" spans="1:8" ht="6" customHeight="1" x14ac:dyDescent="0.2">
      <c r="A22" s="61"/>
      <c r="B22" s="440"/>
      <c r="C22" s="267"/>
      <c r="D22" s="284"/>
      <c r="E22" s="284"/>
      <c r="F22" s="284"/>
      <c r="G22" s="267"/>
      <c r="H22" s="61"/>
    </row>
    <row r="23" spans="1:8" x14ac:dyDescent="0.2">
      <c r="A23" s="61"/>
      <c r="B23" s="432" t="s">
        <v>373</v>
      </c>
      <c r="C23" s="433"/>
      <c r="D23" s="434"/>
      <c r="E23" s="434"/>
      <c r="F23" s="434"/>
      <c r="G23" s="433" t="s">
        <v>372</v>
      </c>
      <c r="H23" s="61"/>
    </row>
    <row r="24" spans="1:8" x14ac:dyDescent="0.2">
      <c r="A24" s="61"/>
      <c r="B24" s="61"/>
      <c r="C24" s="61"/>
      <c r="D24" s="61"/>
      <c r="E24" s="61"/>
      <c r="F24" s="61"/>
      <c r="G24" s="61"/>
      <c r="H24" s="61"/>
    </row>
    <row r="25" spans="1:8" x14ac:dyDescent="0.2">
      <c r="A25" s="61"/>
      <c r="B25" s="61"/>
      <c r="C25" s="61"/>
      <c r="D25" s="61"/>
      <c r="E25" s="61"/>
      <c r="F25" s="61"/>
      <c r="G25" s="61"/>
      <c r="H25" s="61"/>
    </row>
    <row r="26" spans="1:8" x14ac:dyDescent="0.2">
      <c r="B26" s="61"/>
      <c r="C26" s="61"/>
      <c r="D26" s="61"/>
      <c r="E26" s="61"/>
      <c r="F26" s="61"/>
      <c r="G26" s="61"/>
      <c r="H26" s="61"/>
    </row>
    <row r="27" spans="1:8" x14ac:dyDescent="0.2">
      <c r="B27" s="61"/>
      <c r="C27" s="61"/>
      <c r="D27" s="61"/>
      <c r="E27" s="61"/>
      <c r="F27" s="61"/>
      <c r="G27" s="61"/>
      <c r="H27" s="61"/>
    </row>
    <row r="28" spans="1:8" x14ac:dyDescent="0.2">
      <c r="B28" s="61"/>
      <c r="C28" s="61"/>
      <c r="D28" s="61"/>
      <c r="E28" s="61"/>
      <c r="F28" s="61"/>
      <c r="G28" s="61"/>
      <c r="H28" s="61"/>
    </row>
    <row r="29" spans="1:8" x14ac:dyDescent="0.2">
      <c r="B29" s="61"/>
      <c r="C29" s="61"/>
      <c r="D29" s="61"/>
      <c r="E29" s="61"/>
      <c r="F29" s="61"/>
      <c r="G29" s="61"/>
      <c r="H29" s="61"/>
    </row>
  </sheetData>
  <mergeCells count="3">
    <mergeCell ref="B15:B16"/>
    <mergeCell ref="C15:D15"/>
    <mergeCell ref="F15:G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05F7A-B790-9740-B762-790DA6F11672}">
  <dimension ref="A1:X90"/>
  <sheetViews>
    <sheetView tabSelected="1" topLeftCell="C14" zoomScale="110" zoomScaleNormal="110" zoomScaleSheetLayoutView="40" workbookViewId="0">
      <selection activeCell="O33" sqref="O33"/>
    </sheetView>
  </sheetViews>
  <sheetFormatPr baseColWidth="10" defaultRowHeight="16" x14ac:dyDescent="0.2"/>
  <cols>
    <col min="1" max="1" width="3.83203125" customWidth="1"/>
    <col min="2" max="2" width="55.1640625" customWidth="1"/>
    <col min="3" max="7" width="10.33203125" bestFit="1" customWidth="1"/>
    <col min="8" max="8" width="11" bestFit="1" customWidth="1"/>
    <col min="9" max="9" width="71" customWidth="1"/>
    <col min="10" max="15" width="10.6640625" bestFit="1" customWidth="1"/>
    <col min="16" max="16" width="10" customWidth="1"/>
    <col min="17" max="21" width="10.5" bestFit="1" customWidth="1"/>
    <col min="22" max="22" width="11.1640625" bestFit="1" customWidth="1"/>
  </cols>
  <sheetData>
    <row r="1" spans="1:16" x14ac:dyDescent="0.2">
      <c r="A1" s="61"/>
      <c r="B1" s="61"/>
      <c r="C1" s="61"/>
      <c r="D1" s="61"/>
      <c r="E1" s="61"/>
      <c r="F1" s="61"/>
      <c r="G1" s="61"/>
      <c r="H1" s="61"/>
      <c r="I1" s="61"/>
      <c r="J1" s="61"/>
      <c r="K1" s="61"/>
      <c r="L1" s="61"/>
      <c r="M1" s="61"/>
      <c r="N1" s="61"/>
      <c r="O1" s="61"/>
      <c r="P1" s="61"/>
    </row>
    <row r="2" spans="1:16" x14ac:dyDescent="0.2">
      <c r="A2" s="61"/>
      <c r="B2" s="69" t="s">
        <v>1</v>
      </c>
      <c r="C2" s="160" t="s">
        <v>168</v>
      </c>
      <c r="D2" s="161" t="s">
        <v>166</v>
      </c>
      <c r="E2" s="161" t="s">
        <v>167</v>
      </c>
      <c r="F2" s="69">
        <v>2019</v>
      </c>
      <c r="G2" s="69">
        <v>2020</v>
      </c>
      <c r="H2" s="61"/>
      <c r="I2" s="257" t="s">
        <v>212</v>
      </c>
      <c r="J2" s="258" t="s">
        <v>168</v>
      </c>
      <c r="K2" s="246" t="s">
        <v>166</v>
      </c>
      <c r="L2" s="246" t="s">
        <v>167</v>
      </c>
      <c r="M2" s="259">
        <v>2019</v>
      </c>
      <c r="N2" s="260" t="s">
        <v>267</v>
      </c>
      <c r="O2" s="261" t="s">
        <v>268</v>
      </c>
      <c r="P2" s="61"/>
    </row>
    <row r="3" spans="1:16" x14ac:dyDescent="0.2">
      <c r="A3" s="61"/>
      <c r="B3" s="62" t="s">
        <v>117</v>
      </c>
      <c r="C3" s="48">
        <v>2923966</v>
      </c>
      <c r="D3" s="48">
        <v>3165042</v>
      </c>
      <c r="E3" s="48">
        <v>3267505</v>
      </c>
      <c r="F3" s="48">
        <v>3282480</v>
      </c>
      <c r="G3" s="48">
        <v>2643756</v>
      </c>
      <c r="H3" s="61"/>
      <c r="I3" s="248" t="s">
        <v>117</v>
      </c>
      <c r="J3" s="48">
        <v>2923966</v>
      </c>
      <c r="K3" s="48">
        <v>3165042</v>
      </c>
      <c r="L3" s="48">
        <v>3267505</v>
      </c>
      <c r="M3" s="48">
        <v>3282480</v>
      </c>
      <c r="N3" s="48">
        <v>2643756</v>
      </c>
      <c r="O3" s="262">
        <v>2643756</v>
      </c>
      <c r="P3" s="61"/>
    </row>
    <row r="4" spans="1:16" x14ac:dyDescent="0.2">
      <c r="A4" s="61"/>
      <c r="B4" s="62" t="s">
        <v>118</v>
      </c>
      <c r="C4" s="48">
        <v>76381</v>
      </c>
      <c r="D4" s="48">
        <v>63790</v>
      </c>
      <c r="E4" s="48">
        <v>74570</v>
      </c>
      <c r="F4" s="48">
        <v>86358</v>
      </c>
      <c r="G4" s="48">
        <v>54194</v>
      </c>
      <c r="H4" s="61"/>
      <c r="I4" s="248" t="s">
        <v>118</v>
      </c>
      <c r="J4" s="48">
        <v>76381</v>
      </c>
      <c r="K4" s="48">
        <v>63790</v>
      </c>
      <c r="L4" s="48">
        <v>74570</v>
      </c>
      <c r="M4" s="48">
        <v>86358</v>
      </c>
      <c r="N4" s="48">
        <v>54194</v>
      </c>
      <c r="O4" s="262">
        <v>54194</v>
      </c>
      <c r="P4" s="61"/>
    </row>
    <row r="5" spans="1:16" x14ac:dyDescent="0.2">
      <c r="A5" s="61"/>
      <c r="B5" s="170" t="s">
        <v>91</v>
      </c>
      <c r="C5" s="171">
        <f>SUM(C3:C4)</f>
        <v>3000347</v>
      </c>
      <c r="D5" s="171">
        <f>SUM(D3:D4)</f>
        <v>3228832</v>
      </c>
      <c r="E5" s="171">
        <v>3342075</v>
      </c>
      <c r="F5" s="171">
        <v>3368838</v>
      </c>
      <c r="G5" s="171">
        <v>2697950</v>
      </c>
      <c r="H5" s="61"/>
      <c r="I5" s="263" t="s">
        <v>224</v>
      </c>
      <c r="J5" s="169">
        <f t="shared" ref="J5:O5" si="0">SUM(J3:J4)</f>
        <v>3000347</v>
      </c>
      <c r="K5" s="169">
        <f t="shared" si="0"/>
        <v>3228832</v>
      </c>
      <c r="L5" s="169">
        <f t="shared" si="0"/>
        <v>3342075</v>
      </c>
      <c r="M5" s="169">
        <f t="shared" si="0"/>
        <v>3368838</v>
      </c>
      <c r="N5" s="169">
        <f t="shared" si="0"/>
        <v>2697950</v>
      </c>
      <c r="O5" s="264">
        <f t="shared" si="0"/>
        <v>2697950</v>
      </c>
      <c r="P5" s="61"/>
    </row>
    <row r="6" spans="1:16" x14ac:dyDescent="0.2">
      <c r="A6" s="61"/>
      <c r="B6" s="70"/>
      <c r="C6" s="48"/>
      <c r="D6" s="48"/>
      <c r="E6" s="48"/>
      <c r="F6" s="66"/>
      <c r="G6" s="66"/>
      <c r="H6" s="61"/>
      <c r="I6" s="248" t="s">
        <v>5</v>
      </c>
      <c r="J6" s="48">
        <v>-2379746</v>
      </c>
      <c r="K6" s="48">
        <v>-2432818</v>
      </c>
      <c r="L6" s="48">
        <v>-2421633</v>
      </c>
      <c r="M6" s="48">
        <v>-2279485</v>
      </c>
      <c r="N6" s="48">
        <v>-1967585</v>
      </c>
      <c r="O6" s="262">
        <v>-1967585</v>
      </c>
      <c r="P6" s="61"/>
    </row>
    <row r="7" spans="1:16" x14ac:dyDescent="0.2">
      <c r="A7" s="61"/>
      <c r="B7" s="62" t="s">
        <v>5</v>
      </c>
      <c r="C7" s="48">
        <v>-2379746</v>
      </c>
      <c r="D7" s="48">
        <v>-2432818</v>
      </c>
      <c r="E7" s="48">
        <v>-2421633</v>
      </c>
      <c r="F7" s="48">
        <v>-2279485</v>
      </c>
      <c r="G7" s="48">
        <v>-1967586</v>
      </c>
      <c r="H7" s="61"/>
      <c r="I7" s="265" t="s">
        <v>131</v>
      </c>
      <c r="J7" s="169">
        <f t="shared" ref="J7:O7" si="1">SUM(J5:J6)</f>
        <v>620601</v>
      </c>
      <c r="K7" s="169">
        <f t="shared" si="1"/>
        <v>796014</v>
      </c>
      <c r="L7" s="169">
        <f t="shared" si="1"/>
        <v>920442</v>
      </c>
      <c r="M7" s="169">
        <f t="shared" si="1"/>
        <v>1089353</v>
      </c>
      <c r="N7" s="169">
        <f t="shared" si="1"/>
        <v>730365</v>
      </c>
      <c r="O7" s="264">
        <f t="shared" si="1"/>
        <v>730365</v>
      </c>
      <c r="P7" s="61"/>
    </row>
    <row r="8" spans="1:16" x14ac:dyDescent="0.2">
      <c r="A8" s="61"/>
      <c r="B8" s="62" t="s">
        <v>95</v>
      </c>
      <c r="C8" s="48">
        <v>-109361</v>
      </c>
      <c r="D8" s="48">
        <v>-120354</v>
      </c>
      <c r="E8" s="48">
        <v>-142498</v>
      </c>
      <c r="F8" s="48">
        <v>-132213</v>
      </c>
      <c r="G8" s="48">
        <v>-149849</v>
      </c>
      <c r="H8" s="61"/>
      <c r="I8" s="248" t="s">
        <v>95</v>
      </c>
      <c r="J8" s="48">
        <v>-109361</v>
      </c>
      <c r="K8" s="48">
        <v>-120354</v>
      </c>
      <c r="L8" s="48">
        <v>-142498</v>
      </c>
      <c r="M8" s="48">
        <v>-132213</v>
      </c>
      <c r="N8" s="48">
        <v>-149849</v>
      </c>
      <c r="O8" s="262">
        <v>-149849</v>
      </c>
      <c r="P8" s="61"/>
    </row>
    <row r="9" spans="1:16" x14ac:dyDescent="0.2">
      <c r="A9" s="61"/>
      <c r="B9" s="62" t="s">
        <v>8</v>
      </c>
      <c r="C9" s="48">
        <v>-20061</v>
      </c>
      <c r="D9" s="48">
        <v>-4084</v>
      </c>
      <c r="E9" s="48">
        <v>-3707</v>
      </c>
      <c r="F9" s="48">
        <v>-12748</v>
      </c>
      <c r="G9" s="48">
        <v>-9803</v>
      </c>
      <c r="H9" s="61"/>
      <c r="I9" s="248" t="s">
        <v>10</v>
      </c>
      <c r="J9" s="48">
        <v>-121851</v>
      </c>
      <c r="K9" s="48">
        <v>-114313</v>
      </c>
      <c r="L9" s="48">
        <v>-125553</v>
      </c>
      <c r="M9" s="48">
        <v>-141909</v>
      </c>
      <c r="N9" s="48">
        <v>-106995</v>
      </c>
      <c r="O9" s="262">
        <v>-106995</v>
      </c>
      <c r="P9" s="61"/>
    </row>
    <row r="10" spans="1:16" x14ac:dyDescent="0.2">
      <c r="A10" s="61"/>
      <c r="B10" s="62" t="s">
        <v>10</v>
      </c>
      <c r="C10" s="48">
        <v>-121851</v>
      </c>
      <c r="D10" s="48">
        <v>-114313</v>
      </c>
      <c r="E10" s="48">
        <v>-125553</v>
      </c>
      <c r="F10" s="48">
        <v>-141909</v>
      </c>
      <c r="G10" s="48">
        <v>-106995</v>
      </c>
      <c r="H10" s="61"/>
      <c r="I10" s="248" t="s">
        <v>102</v>
      </c>
      <c r="J10" s="48">
        <v>-7104</v>
      </c>
      <c r="K10" s="48">
        <v>-13610</v>
      </c>
      <c r="L10" s="48">
        <v>101796</v>
      </c>
      <c r="M10" s="48">
        <v>62224</v>
      </c>
      <c r="N10" s="48">
        <v>134961</v>
      </c>
      <c r="O10" s="262">
        <v>134961</v>
      </c>
      <c r="P10" s="61"/>
    </row>
    <row r="11" spans="1:16" x14ac:dyDescent="0.2">
      <c r="A11" s="61"/>
      <c r="B11" s="170" t="s">
        <v>12</v>
      </c>
      <c r="C11" s="171">
        <f>SUM(C7:C10)</f>
        <v>-2631019</v>
      </c>
      <c r="D11" s="171">
        <f>SUM(D7:D10)</f>
        <v>-2671569</v>
      </c>
      <c r="E11" s="171">
        <f>SUM(E7:E10)</f>
        <v>-2693391</v>
      </c>
      <c r="F11" s="171">
        <v>-2566355</v>
      </c>
      <c r="G11" s="171">
        <v>-2234233</v>
      </c>
      <c r="H11" s="61"/>
      <c r="I11" s="265" t="s">
        <v>132</v>
      </c>
      <c r="J11" s="169">
        <f t="shared" ref="J11:O11" si="2">SUM(J7:J10)</f>
        <v>382285</v>
      </c>
      <c r="K11" s="169">
        <f t="shared" si="2"/>
        <v>547737</v>
      </c>
      <c r="L11" s="169">
        <f t="shared" si="2"/>
        <v>754187</v>
      </c>
      <c r="M11" s="169">
        <f t="shared" si="2"/>
        <v>877455</v>
      </c>
      <c r="N11" s="169">
        <f t="shared" si="2"/>
        <v>608482</v>
      </c>
      <c r="O11" s="264">
        <f t="shared" si="2"/>
        <v>608482</v>
      </c>
      <c r="P11" s="61"/>
    </row>
    <row r="12" spans="1:16" x14ac:dyDescent="0.2">
      <c r="A12" s="61"/>
      <c r="B12" s="70"/>
      <c r="C12" s="48"/>
      <c r="D12" s="48"/>
      <c r="E12" s="48"/>
      <c r="F12" s="66"/>
      <c r="G12" s="66"/>
      <c r="H12" s="61"/>
      <c r="I12" s="248" t="s">
        <v>8</v>
      </c>
      <c r="J12" s="48">
        <v>-20061</v>
      </c>
      <c r="K12" s="48">
        <v>-4084</v>
      </c>
      <c r="L12" s="48">
        <v>-3707</v>
      </c>
      <c r="M12" s="48">
        <v>-12748</v>
      </c>
      <c r="N12" s="48">
        <v>-9802</v>
      </c>
      <c r="O12" s="262">
        <v>-9802</v>
      </c>
      <c r="P12" s="61"/>
    </row>
    <row r="13" spans="1:16" x14ac:dyDescent="0.2">
      <c r="A13" s="61"/>
      <c r="B13" s="62" t="s">
        <v>102</v>
      </c>
      <c r="C13" s="48">
        <v>-7104</v>
      </c>
      <c r="D13" s="48">
        <v>-13610</v>
      </c>
      <c r="E13" s="48">
        <v>101796</v>
      </c>
      <c r="F13" s="48">
        <v>62224</v>
      </c>
      <c r="G13" s="48">
        <v>134961</v>
      </c>
      <c r="H13" s="61"/>
      <c r="I13" s="265" t="s">
        <v>122</v>
      </c>
      <c r="J13" s="169">
        <f t="shared" ref="J13:O13" si="3">SUM(J11:J12)</f>
        <v>362224</v>
      </c>
      <c r="K13" s="169">
        <f t="shared" si="3"/>
        <v>543653</v>
      </c>
      <c r="L13" s="169">
        <f t="shared" si="3"/>
        <v>750480</v>
      </c>
      <c r="M13" s="169">
        <f t="shared" si="3"/>
        <v>864707</v>
      </c>
      <c r="N13" s="169">
        <f t="shared" si="3"/>
        <v>598680</v>
      </c>
      <c r="O13" s="264">
        <f t="shared" si="3"/>
        <v>598680</v>
      </c>
      <c r="P13" s="61"/>
    </row>
    <row r="14" spans="1:16" x14ac:dyDescent="0.2">
      <c r="A14" s="61"/>
      <c r="B14" s="62" t="s">
        <v>208</v>
      </c>
      <c r="C14" s="48">
        <v>31679</v>
      </c>
      <c r="D14" s="48">
        <v>0</v>
      </c>
      <c r="E14" s="48">
        <v>0</v>
      </c>
      <c r="F14" s="48">
        <v>0</v>
      </c>
      <c r="G14" s="48">
        <v>1045127</v>
      </c>
      <c r="H14" s="61"/>
      <c r="I14" s="248" t="s">
        <v>23</v>
      </c>
      <c r="J14" s="48">
        <v>-63694</v>
      </c>
      <c r="K14" s="48">
        <v>-102653</v>
      </c>
      <c r="L14" s="48">
        <v>-165626</v>
      </c>
      <c r="M14" s="48">
        <v>-199454</v>
      </c>
      <c r="N14" s="48">
        <v>-129898</v>
      </c>
      <c r="O14" s="262">
        <v>-129898</v>
      </c>
      <c r="P14" s="61"/>
    </row>
    <row r="15" spans="1:16" x14ac:dyDescent="0.2">
      <c r="A15" s="61"/>
      <c r="B15" s="170" t="s">
        <v>17</v>
      </c>
      <c r="C15" s="171">
        <f>C5+C11+C13+C14</f>
        <v>393903</v>
      </c>
      <c r="D15" s="171">
        <f>(D5+D11+D13)</f>
        <v>543653</v>
      </c>
      <c r="E15" s="171">
        <f>E5+E11+E13</f>
        <v>750480</v>
      </c>
      <c r="F15" s="171">
        <v>864707</v>
      </c>
      <c r="G15" s="171">
        <v>1643805</v>
      </c>
      <c r="H15" s="61"/>
      <c r="I15" s="248" t="s">
        <v>209</v>
      </c>
      <c r="J15" s="71">
        <f>-J21</f>
        <v>412.65</v>
      </c>
      <c r="K15" s="71">
        <f>-K21</f>
        <v>-8129.6039999999994</v>
      </c>
      <c r="L15" s="71">
        <f>-L21</f>
        <v>-4070.26</v>
      </c>
      <c r="M15" s="71">
        <f>-M21</f>
        <v>-2512.692</v>
      </c>
      <c r="N15" s="71">
        <f>N21</f>
        <v>7635.35</v>
      </c>
      <c r="O15" s="266">
        <f>-O21</f>
        <v>83328.567999999999</v>
      </c>
      <c r="P15" s="61"/>
    </row>
    <row r="16" spans="1:16" x14ac:dyDescent="0.2">
      <c r="A16" s="61"/>
      <c r="B16" s="70"/>
      <c r="C16" s="48"/>
      <c r="D16" s="48"/>
      <c r="E16" s="48"/>
      <c r="F16" s="66"/>
      <c r="G16" s="66"/>
      <c r="H16" s="61"/>
      <c r="I16" s="248" t="s">
        <v>210</v>
      </c>
      <c r="J16" s="71">
        <f t="shared" ref="J16:O16" si="4">J14+J15</f>
        <v>-63281.35</v>
      </c>
      <c r="K16" s="71">
        <f t="shared" si="4"/>
        <v>-110782.60399999999</v>
      </c>
      <c r="L16" s="71">
        <f t="shared" si="4"/>
        <v>-169696.26</v>
      </c>
      <c r="M16" s="71">
        <f t="shared" si="4"/>
        <v>-201966.69200000001</v>
      </c>
      <c r="N16" s="71">
        <f t="shared" si="4"/>
        <v>-122262.65</v>
      </c>
      <c r="O16" s="266">
        <f t="shared" si="4"/>
        <v>-46569.432000000001</v>
      </c>
      <c r="P16" s="61"/>
    </row>
    <row r="17" spans="1:19" x14ac:dyDescent="0.2">
      <c r="A17" s="61"/>
      <c r="B17" s="62" t="s">
        <v>18</v>
      </c>
      <c r="C17" s="48">
        <v>8264</v>
      </c>
      <c r="D17" s="48">
        <v>12749</v>
      </c>
      <c r="E17" s="48">
        <v>10219</v>
      </c>
      <c r="F17" s="48">
        <v>16742</v>
      </c>
      <c r="G17" s="48">
        <v>21313</v>
      </c>
      <c r="H17" s="61"/>
      <c r="I17" s="265" t="s">
        <v>126</v>
      </c>
      <c r="J17" s="169">
        <f t="shared" ref="J17:O17" si="5">J13+J16</f>
        <v>298942.65000000002</v>
      </c>
      <c r="K17" s="169">
        <f t="shared" si="5"/>
        <v>432870.39600000001</v>
      </c>
      <c r="L17" s="169">
        <f t="shared" si="5"/>
        <v>580783.74</v>
      </c>
      <c r="M17" s="169">
        <f t="shared" si="5"/>
        <v>662740.30799999996</v>
      </c>
      <c r="N17" s="169">
        <f t="shared" si="5"/>
        <v>476417.35</v>
      </c>
      <c r="O17" s="264">
        <f t="shared" si="5"/>
        <v>552110.56799999997</v>
      </c>
      <c r="P17" s="61"/>
    </row>
    <row r="18" spans="1:19" x14ac:dyDescent="0.2">
      <c r="A18" s="61"/>
      <c r="B18" s="62" t="s">
        <v>20</v>
      </c>
      <c r="C18" s="48">
        <v>-37585</v>
      </c>
      <c r="D18" s="48">
        <v>-52600</v>
      </c>
      <c r="E18" s="48">
        <v>-28229</v>
      </c>
      <c r="F18" s="48">
        <v>-27480</v>
      </c>
      <c r="G18" s="48">
        <v>-11648</v>
      </c>
      <c r="H18" s="61"/>
      <c r="I18" s="248" t="s">
        <v>18</v>
      </c>
      <c r="J18" s="48">
        <v>8264</v>
      </c>
      <c r="K18" s="48">
        <v>12749</v>
      </c>
      <c r="L18" s="48">
        <v>10219</v>
      </c>
      <c r="M18" s="48">
        <v>16742</v>
      </c>
      <c r="N18" s="48">
        <v>21313</v>
      </c>
      <c r="O18" s="262">
        <v>21313</v>
      </c>
      <c r="P18" s="61"/>
    </row>
    <row r="19" spans="1:19" x14ac:dyDescent="0.2">
      <c r="A19" s="61"/>
      <c r="B19" s="170" t="s">
        <v>21</v>
      </c>
      <c r="C19" s="171">
        <f>SUM(C17:C18)</f>
        <v>-29321</v>
      </c>
      <c r="D19" s="171">
        <f>SUM(D17:D18)</f>
        <v>-39851</v>
      </c>
      <c r="E19" s="171">
        <f>SUM(E17:E18)</f>
        <v>-18010</v>
      </c>
      <c r="F19" s="171">
        <v>-10738</v>
      </c>
      <c r="G19" s="171">
        <v>9665</v>
      </c>
      <c r="H19" s="61"/>
      <c r="I19" s="248" t="s">
        <v>208</v>
      </c>
      <c r="J19" s="48">
        <v>31679</v>
      </c>
      <c r="K19" s="48">
        <v>0</v>
      </c>
      <c r="L19" s="48">
        <v>0</v>
      </c>
      <c r="M19" s="48">
        <v>0</v>
      </c>
      <c r="N19" s="71">
        <v>0</v>
      </c>
      <c r="O19" s="262">
        <v>1045127</v>
      </c>
      <c r="P19" s="61"/>
    </row>
    <row r="20" spans="1:19" x14ac:dyDescent="0.2">
      <c r="A20" s="61"/>
      <c r="B20" s="70"/>
      <c r="C20" s="48"/>
      <c r="D20" s="48"/>
      <c r="E20" s="48"/>
      <c r="F20" s="66"/>
      <c r="G20" s="66"/>
      <c r="H20" s="61"/>
      <c r="I20" s="248" t="s">
        <v>20</v>
      </c>
      <c r="J20" s="48">
        <v>-37585</v>
      </c>
      <c r="K20" s="48">
        <v>-52600</v>
      </c>
      <c r="L20" s="48">
        <v>-28229</v>
      </c>
      <c r="M20" s="48">
        <v>-27480</v>
      </c>
      <c r="N20" s="48">
        <v>-11648</v>
      </c>
      <c r="O20" s="262">
        <v>-11648</v>
      </c>
      <c r="P20" s="61"/>
    </row>
    <row r="21" spans="1:19" x14ac:dyDescent="0.2">
      <c r="A21" s="61"/>
      <c r="B21" s="170" t="s">
        <v>22</v>
      </c>
      <c r="C21" s="171">
        <f>C15+C19</f>
        <v>364582</v>
      </c>
      <c r="D21" s="171">
        <f>D15+D19</f>
        <v>503802</v>
      </c>
      <c r="E21" s="171">
        <f>E15+E19</f>
        <v>732470</v>
      </c>
      <c r="F21" s="171">
        <v>853969</v>
      </c>
      <c r="G21" s="171">
        <v>1653470</v>
      </c>
      <c r="H21" s="61"/>
      <c r="I21" s="248" t="s">
        <v>209</v>
      </c>
      <c r="J21" s="71">
        <f>-(J18+J19+J20)*0.175</f>
        <v>-412.65</v>
      </c>
      <c r="K21" s="71">
        <f>-(K18+K19+K20)*0.204</f>
        <v>8129.6039999999994</v>
      </c>
      <c r="L21" s="71">
        <f>-(L18+L19+L20)*0.226</f>
        <v>4070.26</v>
      </c>
      <c r="M21" s="71">
        <f>-(M18+M19+M20)*0.234</f>
        <v>2512.692</v>
      </c>
      <c r="N21" s="71">
        <f>(N18+N19+N20)*0.79</f>
        <v>7635.35</v>
      </c>
      <c r="O21" s="266">
        <f>-(O18+O19+O20)*0.079</f>
        <v>-83328.567999999999</v>
      </c>
      <c r="P21" s="61"/>
      <c r="Q21" s="144"/>
      <c r="R21" s="144"/>
      <c r="S21" s="144"/>
    </row>
    <row r="22" spans="1:19" x14ac:dyDescent="0.2">
      <c r="A22" s="61"/>
      <c r="B22" s="70"/>
      <c r="C22" s="48"/>
      <c r="D22" s="48"/>
      <c r="E22" s="48"/>
      <c r="F22" s="66"/>
      <c r="G22" s="66"/>
      <c r="H22" s="61"/>
      <c r="I22" s="265" t="s">
        <v>211</v>
      </c>
      <c r="J22" s="169">
        <f t="shared" ref="J22:O22" si="6">SUM(J17:J21)</f>
        <v>300888</v>
      </c>
      <c r="K22" s="169">
        <f t="shared" si="6"/>
        <v>401149</v>
      </c>
      <c r="L22" s="169">
        <f t="shared" si="6"/>
        <v>566844</v>
      </c>
      <c r="M22" s="169">
        <f t="shared" si="6"/>
        <v>654515</v>
      </c>
      <c r="N22" s="169">
        <f t="shared" si="6"/>
        <v>493717.69999999995</v>
      </c>
      <c r="O22" s="264">
        <f t="shared" si="6"/>
        <v>1523574</v>
      </c>
      <c r="P22" s="61"/>
    </row>
    <row r="23" spans="1:19" x14ac:dyDescent="0.2">
      <c r="A23" s="61"/>
      <c r="B23" s="62" t="s">
        <v>23</v>
      </c>
      <c r="C23" s="48">
        <v>-63694</v>
      </c>
      <c r="D23" s="48">
        <v>-102653</v>
      </c>
      <c r="E23" s="48">
        <v>-165626</v>
      </c>
      <c r="F23" s="48">
        <v>-199454</v>
      </c>
      <c r="G23" s="48">
        <v>-129898</v>
      </c>
      <c r="H23" s="61"/>
      <c r="I23" s="234"/>
      <c r="J23" s="61"/>
      <c r="K23" s="61"/>
      <c r="L23" s="61"/>
      <c r="M23" s="61"/>
      <c r="N23" s="61"/>
      <c r="O23" s="267"/>
      <c r="P23" s="61"/>
    </row>
    <row r="24" spans="1:19" x14ac:dyDescent="0.2">
      <c r="A24" s="61"/>
      <c r="B24" s="170" t="s">
        <v>25</v>
      </c>
      <c r="C24" s="171">
        <f>C21+C23</f>
        <v>300888</v>
      </c>
      <c r="D24" s="171">
        <f>D21+D23</f>
        <v>401149</v>
      </c>
      <c r="E24" s="171">
        <f>E21+E23</f>
        <v>566844</v>
      </c>
      <c r="F24" s="171">
        <v>654515</v>
      </c>
      <c r="G24" s="171">
        <v>1523572</v>
      </c>
      <c r="H24" s="61"/>
      <c r="I24" s="248" t="s">
        <v>26</v>
      </c>
      <c r="J24" s="48">
        <v>-3095</v>
      </c>
      <c r="K24" s="48">
        <v>4633</v>
      </c>
      <c r="L24" s="48">
        <v>317</v>
      </c>
      <c r="M24" s="48">
        <v>-6</v>
      </c>
      <c r="N24" s="48">
        <v>4311</v>
      </c>
      <c r="O24" s="262">
        <v>4311</v>
      </c>
      <c r="P24" s="61"/>
    </row>
    <row r="25" spans="1:19" x14ac:dyDescent="0.2">
      <c r="A25" s="61"/>
      <c r="B25" s="70"/>
      <c r="C25" s="48"/>
      <c r="D25" s="48"/>
      <c r="E25" s="48"/>
      <c r="F25" s="66"/>
      <c r="G25" s="66"/>
      <c r="H25" s="61"/>
      <c r="I25" s="268" t="s">
        <v>27</v>
      </c>
      <c r="J25" s="269">
        <f t="shared" ref="J25:O25" si="7">J22+J24</f>
        <v>297793</v>
      </c>
      <c r="K25" s="269">
        <f t="shared" si="7"/>
        <v>405782</v>
      </c>
      <c r="L25" s="269">
        <f t="shared" si="7"/>
        <v>567161</v>
      </c>
      <c r="M25" s="269">
        <f t="shared" si="7"/>
        <v>654509</v>
      </c>
      <c r="N25" s="269">
        <f t="shared" si="7"/>
        <v>498028.69999999995</v>
      </c>
      <c r="O25" s="270">
        <f t="shared" si="7"/>
        <v>1527885</v>
      </c>
      <c r="P25" s="61"/>
    </row>
    <row r="26" spans="1:19" x14ac:dyDescent="0.2">
      <c r="A26" s="61"/>
      <c r="B26" s="62" t="s">
        <v>26</v>
      </c>
      <c r="C26" s="48">
        <v>-3095</v>
      </c>
      <c r="D26" s="48">
        <v>4633</v>
      </c>
      <c r="E26" s="48">
        <v>317</v>
      </c>
      <c r="F26" s="48">
        <v>-6</v>
      </c>
      <c r="G26" s="48">
        <v>4311</v>
      </c>
      <c r="H26" s="61"/>
      <c r="I26" s="121" t="s">
        <v>170</v>
      </c>
      <c r="J26" s="157"/>
      <c r="K26" s="157"/>
      <c r="L26" s="157"/>
      <c r="M26" s="157"/>
      <c r="N26" s="157"/>
      <c r="O26" s="61"/>
      <c r="P26" s="61"/>
    </row>
    <row r="27" spans="1:19" x14ac:dyDescent="0.2">
      <c r="A27" s="61"/>
      <c r="B27" s="170" t="s">
        <v>27</v>
      </c>
      <c r="C27" s="171">
        <f>C24+C26</f>
        <v>297793</v>
      </c>
      <c r="D27" s="171">
        <f>D24+D26</f>
        <v>405782</v>
      </c>
      <c r="E27" s="171">
        <f>E24+E26</f>
        <v>567161</v>
      </c>
      <c r="F27" s="171">
        <v>654509</v>
      </c>
      <c r="G27" s="171">
        <v>1527883</v>
      </c>
      <c r="H27" s="61"/>
      <c r="I27" s="121" t="s">
        <v>169</v>
      </c>
      <c r="J27" s="71"/>
      <c r="K27" s="71"/>
      <c r="L27" s="71"/>
      <c r="M27" s="71"/>
      <c r="N27" s="71"/>
      <c r="O27" s="61"/>
      <c r="P27" s="61"/>
    </row>
    <row r="28" spans="1:19" x14ac:dyDescent="0.2">
      <c r="A28" s="61"/>
      <c r="B28" s="61"/>
      <c r="C28" s="48"/>
      <c r="D28" s="61"/>
      <c r="E28" s="61"/>
      <c r="F28" s="61"/>
      <c r="G28" s="61"/>
      <c r="H28" s="61"/>
      <c r="I28" s="196" t="s">
        <v>270</v>
      </c>
      <c r="J28" s="61"/>
      <c r="K28" s="61"/>
      <c r="L28" s="61"/>
      <c r="M28" s="61"/>
      <c r="N28" s="61"/>
      <c r="O28" s="61"/>
      <c r="P28" s="61"/>
    </row>
    <row r="29" spans="1:19" x14ac:dyDescent="0.2">
      <c r="A29" s="61"/>
      <c r="B29" s="62" t="s">
        <v>170</v>
      </c>
      <c r="C29" s="61"/>
      <c r="D29" s="61"/>
      <c r="E29" s="61"/>
      <c r="F29" s="61"/>
      <c r="G29" s="61"/>
      <c r="H29" s="61"/>
      <c r="I29" s="196" t="s">
        <v>271</v>
      </c>
      <c r="J29" s="61"/>
      <c r="K29" s="61"/>
      <c r="L29" s="61"/>
      <c r="M29" s="61"/>
      <c r="N29" s="61"/>
      <c r="O29" s="61"/>
      <c r="P29" s="61"/>
    </row>
    <row r="30" spans="1:19" x14ac:dyDescent="0.2">
      <c r="A30" s="61"/>
      <c r="B30" s="62" t="s">
        <v>169</v>
      </c>
      <c r="C30" s="61"/>
      <c r="D30" s="61"/>
      <c r="E30" s="61"/>
      <c r="F30" s="61"/>
      <c r="G30" s="61"/>
      <c r="H30" s="61"/>
      <c r="I30" s="61"/>
      <c r="J30" s="61"/>
      <c r="K30" s="61"/>
      <c r="L30" s="61"/>
      <c r="M30" s="61"/>
      <c r="N30" s="61"/>
      <c r="O30" s="61"/>
      <c r="P30" s="61"/>
    </row>
    <row r="31" spans="1:19" x14ac:dyDescent="0.2">
      <c r="A31" s="61"/>
      <c r="B31" s="61"/>
      <c r="C31" s="61"/>
      <c r="D31" s="61"/>
      <c r="E31" s="61"/>
      <c r="F31" s="61"/>
      <c r="G31" s="61"/>
      <c r="H31" s="61"/>
      <c r="I31" s="61"/>
      <c r="J31" s="61"/>
      <c r="K31" s="61"/>
      <c r="L31" s="61"/>
      <c r="M31" s="61"/>
      <c r="N31" s="61"/>
      <c r="O31" s="61"/>
      <c r="P31" s="61"/>
    </row>
    <row r="32" spans="1:19" x14ac:dyDescent="0.2">
      <c r="A32" s="61"/>
      <c r="B32" s="165"/>
      <c r="C32" s="61"/>
      <c r="D32" s="61"/>
      <c r="E32" s="61"/>
      <c r="F32" s="61"/>
      <c r="G32" s="61"/>
      <c r="H32" s="61"/>
      <c r="I32" s="245" t="s">
        <v>375</v>
      </c>
      <c r="J32" s="246" t="s">
        <v>165</v>
      </c>
      <c r="K32" s="246" t="s">
        <v>166</v>
      </c>
      <c r="L32" s="246" t="s">
        <v>167</v>
      </c>
      <c r="M32" s="246">
        <v>2019</v>
      </c>
      <c r="N32" s="272" t="s">
        <v>267</v>
      </c>
      <c r="O32" s="273" t="s">
        <v>268</v>
      </c>
      <c r="P32" s="61"/>
    </row>
    <row r="33" spans="1:24" x14ac:dyDescent="0.2">
      <c r="A33" s="61"/>
      <c r="H33" s="61"/>
      <c r="I33" s="248" t="str">
        <f>I5</f>
        <v>Revenue</v>
      </c>
      <c r="J33" s="244">
        <f>J5</f>
        <v>3000347</v>
      </c>
      <c r="K33" s="244">
        <f>K5</f>
        <v>3228832</v>
      </c>
      <c r="L33" s="244">
        <f>L5</f>
        <v>3342075</v>
      </c>
      <c r="M33" s="244">
        <f>M5</f>
        <v>3368838</v>
      </c>
      <c r="N33" s="244">
        <f>O5</f>
        <v>2697950</v>
      </c>
      <c r="O33" s="253">
        <f>O5</f>
        <v>2697950</v>
      </c>
      <c r="P33" s="61"/>
    </row>
    <row r="34" spans="1:24" x14ac:dyDescent="0.2">
      <c r="A34" s="61"/>
      <c r="H34" s="61"/>
      <c r="I34" s="249" t="str">
        <f>I7</f>
        <v>Gross profit</v>
      </c>
      <c r="J34" s="88">
        <f>J7</f>
        <v>620601</v>
      </c>
      <c r="K34" s="88">
        <f>K7</f>
        <v>796014</v>
      </c>
      <c r="L34" s="88">
        <f>L7</f>
        <v>920442</v>
      </c>
      <c r="M34" s="88">
        <f>M7</f>
        <v>1089353</v>
      </c>
      <c r="N34" s="88">
        <f>O7</f>
        <v>730365</v>
      </c>
      <c r="O34" s="254">
        <f>O7</f>
        <v>730365</v>
      </c>
      <c r="P34" s="61"/>
    </row>
    <row r="35" spans="1:24" x14ac:dyDescent="0.2">
      <c r="A35" s="61"/>
      <c r="H35" s="61"/>
      <c r="I35" s="250" t="str">
        <f>I11</f>
        <v>EBITDA</v>
      </c>
      <c r="J35" s="49">
        <f>J11</f>
        <v>382285</v>
      </c>
      <c r="K35" s="49">
        <f>K11</f>
        <v>547737</v>
      </c>
      <c r="L35" s="49">
        <f>L11</f>
        <v>754187</v>
      </c>
      <c r="M35" s="49">
        <f>M11</f>
        <v>877455</v>
      </c>
      <c r="N35" s="49">
        <f>O11</f>
        <v>608482</v>
      </c>
      <c r="O35" s="255">
        <f>O11</f>
        <v>608482</v>
      </c>
      <c r="P35" s="61"/>
    </row>
    <row r="36" spans="1:24" x14ac:dyDescent="0.2">
      <c r="A36" s="61"/>
      <c r="H36" s="61"/>
      <c r="I36" s="249" t="str">
        <f>I13</f>
        <v>EBIT</v>
      </c>
      <c r="J36" s="88">
        <f>J13</f>
        <v>362224</v>
      </c>
      <c r="K36" s="88">
        <f>K13</f>
        <v>543653</v>
      </c>
      <c r="L36" s="88">
        <f>L13</f>
        <v>750480</v>
      </c>
      <c r="M36" s="88">
        <f>M13</f>
        <v>864707</v>
      </c>
      <c r="N36" s="88">
        <f>O13</f>
        <v>598680</v>
      </c>
      <c r="O36" s="254">
        <f>O13</f>
        <v>598680</v>
      </c>
      <c r="P36" s="61"/>
    </row>
    <row r="37" spans="1:24" x14ac:dyDescent="0.2">
      <c r="A37" s="61"/>
      <c r="H37" s="61"/>
      <c r="I37" s="250" t="str">
        <f t="shared" ref="I37:O37" si="8">I17</f>
        <v>NOPAT</v>
      </c>
      <c r="J37" s="49">
        <f t="shared" si="8"/>
        <v>298942.65000000002</v>
      </c>
      <c r="K37" s="49">
        <f t="shared" si="8"/>
        <v>432870.39600000001</v>
      </c>
      <c r="L37" s="49">
        <f t="shared" si="8"/>
        <v>580783.74</v>
      </c>
      <c r="M37" s="49">
        <f t="shared" si="8"/>
        <v>662740.30799999996</v>
      </c>
      <c r="N37" s="49">
        <f t="shared" si="8"/>
        <v>476417.35</v>
      </c>
      <c r="O37" s="255">
        <f t="shared" si="8"/>
        <v>552110.56799999997</v>
      </c>
      <c r="P37" s="61"/>
      <c r="X37" s="61"/>
    </row>
    <row r="38" spans="1:24" x14ac:dyDescent="0.2">
      <c r="A38" s="61"/>
      <c r="H38" s="61"/>
      <c r="I38" s="249" t="str">
        <f t="shared" ref="I38:O38" si="9">I22</f>
        <v>Konsolidert profitt</v>
      </c>
      <c r="J38" s="88">
        <f t="shared" si="9"/>
        <v>300888</v>
      </c>
      <c r="K38" s="88">
        <f t="shared" si="9"/>
        <v>401149</v>
      </c>
      <c r="L38" s="88">
        <f t="shared" si="9"/>
        <v>566844</v>
      </c>
      <c r="M38" s="88">
        <f t="shared" si="9"/>
        <v>654515</v>
      </c>
      <c r="N38" s="88">
        <f t="shared" si="9"/>
        <v>493717.69999999995</v>
      </c>
      <c r="O38" s="254">
        <f t="shared" si="9"/>
        <v>1523574</v>
      </c>
      <c r="P38" s="61"/>
      <c r="X38" s="61"/>
    </row>
    <row r="39" spans="1:24" x14ac:dyDescent="0.2">
      <c r="A39" s="61"/>
      <c r="H39" s="61"/>
      <c r="I39" s="236" t="str">
        <f t="shared" ref="I39:O39" si="10">I25</f>
        <v>Årets totalresultat</v>
      </c>
      <c r="J39" s="252">
        <f t="shared" si="10"/>
        <v>297793</v>
      </c>
      <c r="K39" s="252">
        <f t="shared" si="10"/>
        <v>405782</v>
      </c>
      <c r="L39" s="252">
        <f t="shared" si="10"/>
        <v>567161</v>
      </c>
      <c r="M39" s="252">
        <f t="shared" si="10"/>
        <v>654509</v>
      </c>
      <c r="N39" s="252">
        <f t="shared" si="10"/>
        <v>498028.69999999995</v>
      </c>
      <c r="O39" s="256">
        <f t="shared" si="10"/>
        <v>1527885</v>
      </c>
      <c r="P39" s="61"/>
      <c r="X39" s="61"/>
    </row>
    <row r="40" spans="1:24" ht="16" customHeight="1" x14ac:dyDescent="0.2">
      <c r="A40" s="61"/>
      <c r="H40" s="61"/>
      <c r="I40" s="289"/>
      <c r="J40" s="49"/>
      <c r="K40" s="49"/>
      <c r="L40" s="49"/>
      <c r="M40" s="49"/>
      <c r="N40" s="49"/>
      <c r="O40" s="49"/>
      <c r="P40" s="61"/>
      <c r="X40" s="61"/>
    </row>
    <row r="41" spans="1:24" x14ac:dyDescent="0.2">
      <c r="A41" s="61"/>
      <c r="H41" s="61"/>
      <c r="I41" s="165"/>
      <c r="J41" s="49"/>
      <c r="K41" s="49"/>
      <c r="L41" s="49"/>
      <c r="M41" s="49"/>
      <c r="N41" s="49"/>
      <c r="O41" s="49"/>
      <c r="P41" s="61"/>
      <c r="X41" s="61"/>
    </row>
    <row r="42" spans="1:24" x14ac:dyDescent="0.2">
      <c r="A42" s="61"/>
      <c r="H42" s="61"/>
      <c r="I42" s="120" t="s">
        <v>173</v>
      </c>
      <c r="J42" s="49"/>
      <c r="K42" s="49"/>
      <c r="L42" s="49"/>
      <c r="M42" s="49"/>
      <c r="N42" s="49"/>
      <c r="O42" s="49"/>
      <c r="P42" s="61"/>
      <c r="X42" s="61"/>
    </row>
    <row r="43" spans="1:24" x14ac:dyDescent="0.2">
      <c r="A43" s="61"/>
      <c r="H43" s="61"/>
      <c r="I43" s="196" t="s">
        <v>270</v>
      </c>
      <c r="J43" s="49"/>
      <c r="K43" s="49"/>
      <c r="L43" s="49"/>
      <c r="M43" s="49"/>
      <c r="N43" s="49"/>
      <c r="O43" s="49"/>
      <c r="P43" s="61"/>
      <c r="X43" s="61"/>
    </row>
    <row r="44" spans="1:24" x14ac:dyDescent="0.2">
      <c r="A44" s="61"/>
      <c r="H44" s="61"/>
      <c r="I44" s="196" t="s">
        <v>271</v>
      </c>
      <c r="J44" s="49"/>
      <c r="K44" s="49"/>
      <c r="L44" s="49"/>
      <c r="M44" s="49"/>
      <c r="N44" s="49"/>
      <c r="O44" s="49"/>
      <c r="P44" s="61"/>
      <c r="X44" s="61"/>
    </row>
    <row r="45" spans="1:24" x14ac:dyDescent="0.2">
      <c r="A45" s="61"/>
      <c r="H45" s="61"/>
      <c r="I45" s="61"/>
      <c r="J45" s="61"/>
      <c r="K45" s="61"/>
      <c r="L45" s="61"/>
      <c r="M45" s="61"/>
      <c r="N45" s="61"/>
      <c r="O45" s="61"/>
      <c r="P45" s="61"/>
      <c r="R45" s="61"/>
      <c r="S45" s="61"/>
      <c r="T45" s="61"/>
      <c r="U45" s="61"/>
      <c r="V45" s="61"/>
      <c r="W45" s="61"/>
      <c r="X45" s="61"/>
    </row>
    <row r="46" spans="1:24" x14ac:dyDescent="0.2">
      <c r="A46" s="61"/>
      <c r="H46" s="61"/>
      <c r="I46" s="77" t="s">
        <v>172</v>
      </c>
      <c r="J46" s="93" t="str">
        <f>K32</f>
        <v>2017*</v>
      </c>
      <c r="K46" s="93" t="str">
        <f>L32</f>
        <v>2018*</v>
      </c>
      <c r="L46" s="93">
        <f>M32</f>
        <v>2019</v>
      </c>
      <c r="M46" s="321" t="str">
        <f>N32</f>
        <v>2020 (1)</v>
      </c>
      <c r="N46" s="321" t="str">
        <f>O32</f>
        <v>2020 (2)</v>
      </c>
      <c r="O46" s="61"/>
      <c r="Q46" s="61"/>
      <c r="R46" s="61"/>
      <c r="S46" s="61"/>
      <c r="T46" s="61"/>
      <c r="U46" s="61"/>
      <c r="V46" s="61"/>
    </row>
    <row r="47" spans="1:24" x14ac:dyDescent="0.2">
      <c r="A47" s="61"/>
      <c r="H47" s="61"/>
      <c r="I47" s="74" t="str">
        <f t="shared" ref="I47:I53" si="11">I33</f>
        <v>Revenue</v>
      </c>
      <c r="J47" s="49">
        <f t="shared" ref="J47:M53" si="12">K33-J33</f>
        <v>228485</v>
      </c>
      <c r="K47" s="49">
        <f t="shared" si="12"/>
        <v>113243</v>
      </c>
      <c r="L47" s="49">
        <f t="shared" si="12"/>
        <v>26763</v>
      </c>
      <c r="M47" s="83">
        <f t="shared" si="12"/>
        <v>-670888</v>
      </c>
      <c r="N47" s="83">
        <f>M47</f>
        <v>-670888</v>
      </c>
      <c r="O47" s="61"/>
    </row>
    <row r="48" spans="1:24" x14ac:dyDescent="0.2">
      <c r="A48" s="61"/>
      <c r="H48" s="61"/>
      <c r="I48" s="87" t="str">
        <f t="shared" si="11"/>
        <v>Gross profit</v>
      </c>
      <c r="J48" s="88">
        <f t="shared" si="12"/>
        <v>175413</v>
      </c>
      <c r="K48" s="88">
        <f t="shared" si="12"/>
        <v>124428</v>
      </c>
      <c r="L48" s="88">
        <f t="shared" si="12"/>
        <v>168911</v>
      </c>
      <c r="M48" s="89">
        <f t="shared" si="12"/>
        <v>-358988</v>
      </c>
      <c r="N48" s="89">
        <f t="shared" ref="N48:N50" si="13">M48</f>
        <v>-358988</v>
      </c>
      <c r="O48" s="61"/>
    </row>
    <row r="49" spans="1:16" x14ac:dyDescent="0.2">
      <c r="A49" s="61"/>
      <c r="H49" s="61"/>
      <c r="I49" s="74" t="str">
        <f t="shared" si="11"/>
        <v>EBITDA</v>
      </c>
      <c r="J49" s="49">
        <f t="shared" si="12"/>
        <v>165452</v>
      </c>
      <c r="K49" s="49">
        <f t="shared" si="12"/>
        <v>206450</v>
      </c>
      <c r="L49" s="49">
        <f t="shared" si="12"/>
        <v>123268</v>
      </c>
      <c r="M49" s="83">
        <f t="shared" si="12"/>
        <v>-268973</v>
      </c>
      <c r="N49" s="83">
        <f t="shared" si="13"/>
        <v>-268973</v>
      </c>
      <c r="O49" s="61"/>
    </row>
    <row r="50" spans="1:16" x14ac:dyDescent="0.2">
      <c r="A50" s="61"/>
      <c r="H50" s="61"/>
      <c r="I50" s="87" t="str">
        <f t="shared" si="11"/>
        <v>EBIT</v>
      </c>
      <c r="J50" s="88">
        <f t="shared" si="12"/>
        <v>181429</v>
      </c>
      <c r="K50" s="88">
        <f t="shared" si="12"/>
        <v>206827</v>
      </c>
      <c r="L50" s="88">
        <f t="shared" si="12"/>
        <v>114227</v>
      </c>
      <c r="M50" s="89">
        <f t="shared" si="12"/>
        <v>-266027</v>
      </c>
      <c r="N50" s="89">
        <f t="shared" si="13"/>
        <v>-266027</v>
      </c>
      <c r="O50" s="61"/>
    </row>
    <row r="51" spans="1:16" x14ac:dyDescent="0.2">
      <c r="A51" s="61"/>
      <c r="H51" s="61"/>
      <c r="I51" s="74" t="str">
        <f t="shared" si="11"/>
        <v>NOPAT</v>
      </c>
      <c r="J51" s="49">
        <f t="shared" si="12"/>
        <v>133927.74599999998</v>
      </c>
      <c r="K51" s="49">
        <f t="shared" si="12"/>
        <v>147913.34399999998</v>
      </c>
      <c r="L51" s="49">
        <f t="shared" si="12"/>
        <v>81956.56799999997</v>
      </c>
      <c r="M51" s="83">
        <f t="shared" si="12"/>
        <v>-186322.95799999998</v>
      </c>
      <c r="N51" s="83">
        <f>O37-M37</f>
        <v>-110629.73999999999</v>
      </c>
      <c r="O51" s="61"/>
    </row>
    <row r="52" spans="1:16" x14ac:dyDescent="0.2">
      <c r="A52" s="61"/>
      <c r="H52" s="61"/>
      <c r="I52" s="87" t="str">
        <f t="shared" si="11"/>
        <v>Konsolidert profitt</v>
      </c>
      <c r="J52" s="88">
        <f t="shared" si="12"/>
        <v>100261</v>
      </c>
      <c r="K52" s="88">
        <f t="shared" si="12"/>
        <v>165695</v>
      </c>
      <c r="L52" s="88">
        <f t="shared" si="12"/>
        <v>87671</v>
      </c>
      <c r="M52" s="89">
        <f t="shared" si="12"/>
        <v>-160797.30000000005</v>
      </c>
      <c r="N52" s="89">
        <f>O38-M38</f>
        <v>869059</v>
      </c>
      <c r="O52" s="61"/>
    </row>
    <row r="53" spans="1:16" x14ac:dyDescent="0.2">
      <c r="A53" s="61"/>
      <c r="H53" s="61"/>
      <c r="I53" s="168" t="str">
        <f t="shared" si="11"/>
        <v>Årets totalresultat</v>
      </c>
      <c r="J53" s="156">
        <f t="shared" si="12"/>
        <v>107989</v>
      </c>
      <c r="K53" s="156">
        <f t="shared" si="12"/>
        <v>161379</v>
      </c>
      <c r="L53" s="156">
        <f t="shared" si="12"/>
        <v>87348</v>
      </c>
      <c r="M53" s="167">
        <f t="shared" si="12"/>
        <v>-156480.30000000005</v>
      </c>
      <c r="N53" s="274">
        <f>O39-M39</f>
        <v>873376</v>
      </c>
      <c r="O53" s="61"/>
    </row>
    <row r="54" spans="1:16" x14ac:dyDescent="0.2">
      <c r="A54" s="61"/>
      <c r="H54" s="61"/>
      <c r="I54" s="62"/>
      <c r="J54" s="61"/>
      <c r="K54" s="61"/>
      <c r="L54" s="61"/>
      <c r="M54" s="61"/>
      <c r="N54" s="61"/>
      <c r="O54" s="61"/>
    </row>
    <row r="55" spans="1:16" x14ac:dyDescent="0.2">
      <c r="A55" s="61"/>
      <c r="H55" s="61"/>
      <c r="I55" s="77" t="s">
        <v>171</v>
      </c>
      <c r="J55" s="93" t="str">
        <f>J46</f>
        <v>2017*</v>
      </c>
      <c r="K55" s="93" t="str">
        <f>K46</f>
        <v>2018*</v>
      </c>
      <c r="L55" s="78">
        <f>L46</f>
        <v>2019</v>
      </c>
      <c r="M55" s="321" t="str">
        <f>M46</f>
        <v>2020 (1)</v>
      </c>
      <c r="N55" s="321" t="str">
        <f>N46</f>
        <v>2020 (2)</v>
      </c>
      <c r="O55" s="61"/>
    </row>
    <row r="56" spans="1:16" x14ac:dyDescent="0.2">
      <c r="A56" s="61"/>
      <c r="H56" s="61"/>
      <c r="I56" s="74" t="str">
        <f t="shared" ref="I56:I62" si="14">I33</f>
        <v>Revenue</v>
      </c>
      <c r="J56" s="72">
        <f t="shared" ref="J56:M62" si="15">(K33-J33)/J33</f>
        <v>7.6152858319387728E-2</v>
      </c>
      <c r="K56" s="72">
        <f t="shared" si="15"/>
        <v>3.5072434861894333E-2</v>
      </c>
      <c r="L56" s="72">
        <f t="shared" si="15"/>
        <v>8.0078992841273768E-3</v>
      </c>
      <c r="M56" s="84">
        <f t="shared" si="15"/>
        <v>-0.19914522455517303</v>
      </c>
      <c r="N56" s="84">
        <f t="shared" ref="N56:N62" si="16">(O33-M33)/M33</f>
        <v>-0.19914522455517303</v>
      </c>
      <c r="O56" s="61"/>
    </row>
    <row r="57" spans="1:16" x14ac:dyDescent="0.2">
      <c r="A57" s="61"/>
      <c r="H57" s="61"/>
      <c r="I57" s="87" t="str">
        <f t="shared" si="14"/>
        <v>Gross profit</v>
      </c>
      <c r="J57" s="91">
        <f t="shared" si="15"/>
        <v>0.28265020520431</v>
      </c>
      <c r="K57" s="91">
        <f t="shared" si="15"/>
        <v>0.15631383367629212</v>
      </c>
      <c r="L57" s="91">
        <f t="shared" si="15"/>
        <v>0.18351074809710988</v>
      </c>
      <c r="M57" s="92">
        <f t="shared" si="15"/>
        <v>-0.32954239810235986</v>
      </c>
      <c r="N57" s="92">
        <f t="shared" si="16"/>
        <v>-0.32954239810235986</v>
      </c>
      <c r="O57" s="61"/>
    </row>
    <row r="58" spans="1:16" x14ac:dyDescent="0.2">
      <c r="A58" s="61"/>
      <c r="H58" s="61"/>
      <c r="I58" s="74" t="str">
        <f t="shared" si="14"/>
        <v>EBITDA</v>
      </c>
      <c r="J58" s="72">
        <f t="shared" si="15"/>
        <v>0.43279752017473871</v>
      </c>
      <c r="K58" s="72">
        <f t="shared" si="15"/>
        <v>0.37691446807500678</v>
      </c>
      <c r="L58" s="72">
        <f t="shared" si="15"/>
        <v>0.16344487507740124</v>
      </c>
      <c r="M58" s="84">
        <f t="shared" si="15"/>
        <v>-0.30653765720179382</v>
      </c>
      <c r="N58" s="84">
        <f t="shared" si="16"/>
        <v>-0.30653765720179382</v>
      </c>
      <c r="O58" s="61"/>
    </row>
    <row r="59" spans="1:16" x14ac:dyDescent="0.2">
      <c r="A59" s="61"/>
      <c r="H59" s="61"/>
      <c r="I59" s="87" t="str">
        <f t="shared" si="14"/>
        <v>EBIT</v>
      </c>
      <c r="J59" s="91">
        <f t="shared" si="15"/>
        <v>0.50087514907902297</v>
      </c>
      <c r="K59" s="91">
        <f t="shared" si="15"/>
        <v>0.38043936113660737</v>
      </c>
      <c r="L59" s="91">
        <f t="shared" si="15"/>
        <v>0.15220525530327259</v>
      </c>
      <c r="M59" s="92">
        <f t="shared" si="15"/>
        <v>-0.30764987446614867</v>
      </c>
      <c r="N59" s="92">
        <f t="shared" si="16"/>
        <v>-0.30764987446614867</v>
      </c>
      <c r="O59" s="61"/>
    </row>
    <row r="60" spans="1:16" x14ac:dyDescent="0.2">
      <c r="A60" s="61"/>
      <c r="H60" s="61"/>
      <c r="I60" s="74" t="str">
        <f t="shared" si="14"/>
        <v>NOPAT</v>
      </c>
      <c r="J60" s="72">
        <f t="shared" si="15"/>
        <v>0.44800481296328903</v>
      </c>
      <c r="K60" s="72">
        <f t="shared" si="15"/>
        <v>0.34170353382170304</v>
      </c>
      <c r="L60" s="72">
        <f t="shared" si="15"/>
        <v>0.14111374399014678</v>
      </c>
      <c r="M60" s="84">
        <f t="shared" si="15"/>
        <v>-0.28114022302684505</v>
      </c>
      <c r="N60" s="84">
        <f t="shared" si="16"/>
        <v>-0.16692773725179849</v>
      </c>
      <c r="O60" s="61"/>
    </row>
    <row r="61" spans="1:16" x14ac:dyDescent="0.2">
      <c r="A61" s="61"/>
      <c r="B61" s="61"/>
      <c r="C61" s="61"/>
      <c r="D61" s="61"/>
      <c r="E61" s="61"/>
      <c r="F61" s="47"/>
      <c r="G61" s="61"/>
      <c r="H61" s="61"/>
      <c r="I61" s="87" t="str">
        <f t="shared" si="14"/>
        <v>Konsolidert profitt</v>
      </c>
      <c r="J61" s="91">
        <f t="shared" si="15"/>
        <v>0.33321701098083006</v>
      </c>
      <c r="K61" s="91">
        <f t="shared" si="15"/>
        <v>0.41305101097098584</v>
      </c>
      <c r="L61" s="91">
        <f t="shared" si="15"/>
        <v>0.15466512832454785</v>
      </c>
      <c r="M61" s="92">
        <f t="shared" si="15"/>
        <v>-0.24567397233065713</v>
      </c>
      <c r="N61" s="92">
        <f t="shared" si="16"/>
        <v>1.3277908069333781</v>
      </c>
      <c r="O61" s="61"/>
    </row>
    <row r="62" spans="1:16" x14ac:dyDescent="0.2">
      <c r="A62" s="61"/>
      <c r="B62" s="46"/>
      <c r="C62" s="163"/>
      <c r="D62" s="164"/>
      <c r="E62" s="165"/>
      <c r="F62" s="165"/>
      <c r="G62" s="46"/>
      <c r="H62" s="61"/>
      <c r="I62" s="168" t="str">
        <f t="shared" si="14"/>
        <v>Årets totalresultat</v>
      </c>
      <c r="J62" s="237">
        <f t="shared" si="15"/>
        <v>0.36263108938087868</v>
      </c>
      <c r="K62" s="237">
        <f t="shared" si="15"/>
        <v>0.39769876436115942</v>
      </c>
      <c r="L62" s="237">
        <f t="shared" si="15"/>
        <v>0.15400917905145101</v>
      </c>
      <c r="M62" s="290">
        <f t="shared" si="15"/>
        <v>-0.23908044045230858</v>
      </c>
      <c r="N62" s="275">
        <f t="shared" si="16"/>
        <v>1.3343987630422194</v>
      </c>
      <c r="O62" s="61"/>
    </row>
    <row r="63" spans="1:16" ht="16" customHeight="1" x14ac:dyDescent="0.2">
      <c r="A63" s="61"/>
      <c r="B63" s="62"/>
      <c r="C63" s="166"/>
      <c r="D63" s="48"/>
      <c r="E63" s="48"/>
      <c r="F63" s="48"/>
      <c r="G63" s="48"/>
      <c r="H63" s="61"/>
      <c r="I63" s="46"/>
      <c r="J63" s="49"/>
      <c r="K63" s="72"/>
      <c r="L63" s="72"/>
      <c r="M63" s="72"/>
      <c r="N63" s="72"/>
      <c r="O63" s="72"/>
      <c r="P63" s="61"/>
    </row>
    <row r="64" spans="1:16" x14ac:dyDescent="0.2">
      <c r="B64" s="1"/>
      <c r="C64" s="42"/>
      <c r="D64" s="3"/>
      <c r="E64" s="3"/>
      <c r="F64" s="3"/>
      <c r="G64" s="3"/>
      <c r="H64" s="61"/>
      <c r="J64" s="271"/>
      <c r="K64" s="271"/>
      <c r="L64" s="271"/>
      <c r="M64" s="271"/>
      <c r="N64" s="271"/>
      <c r="O64" s="61"/>
      <c r="P64" s="61"/>
    </row>
    <row r="65" spans="2:16" x14ac:dyDescent="0.2">
      <c r="B65" s="1"/>
      <c r="C65" s="42"/>
      <c r="D65" s="3"/>
      <c r="E65" s="3"/>
      <c r="F65" s="3"/>
      <c r="G65" s="3"/>
      <c r="H65" s="46"/>
      <c r="I65" s="120" t="s">
        <v>173</v>
      </c>
      <c r="J65" s="271"/>
      <c r="K65" s="271"/>
      <c r="L65" s="271"/>
      <c r="M65" s="271"/>
      <c r="N65" s="271"/>
      <c r="O65" s="61"/>
      <c r="P65" s="61"/>
    </row>
    <row r="66" spans="2:16" x14ac:dyDescent="0.2">
      <c r="B66" s="4"/>
      <c r="C66" s="43"/>
      <c r="D66" s="6"/>
      <c r="E66" s="6"/>
      <c r="F66" s="6"/>
      <c r="G66" s="6"/>
      <c r="H66" s="48"/>
      <c r="I66" s="196" t="s">
        <v>270</v>
      </c>
      <c r="J66" s="61"/>
      <c r="K66" s="61"/>
      <c r="L66" s="61"/>
      <c r="M66" s="61"/>
      <c r="N66" s="61"/>
      <c r="O66" s="61"/>
      <c r="P66" s="61"/>
    </row>
    <row r="67" spans="2:16" x14ac:dyDescent="0.2">
      <c r="B67" s="1"/>
      <c r="C67" s="42"/>
      <c r="D67" s="3"/>
      <c r="E67" s="3"/>
      <c r="F67" s="3"/>
      <c r="G67" s="3"/>
      <c r="H67" s="48"/>
      <c r="I67" s="196" t="s">
        <v>271</v>
      </c>
      <c r="J67" s="47"/>
      <c r="K67" s="47"/>
      <c r="L67" s="61"/>
      <c r="M67" s="61"/>
      <c r="N67" s="61"/>
      <c r="O67" s="61"/>
      <c r="P67" s="61"/>
    </row>
    <row r="68" spans="2:16" x14ac:dyDescent="0.2">
      <c r="B68" s="1"/>
      <c r="C68" s="42"/>
      <c r="D68" s="3"/>
      <c r="E68" s="3"/>
      <c r="F68" s="3"/>
      <c r="G68" s="3"/>
      <c r="H68" s="48"/>
      <c r="I68" s="47"/>
      <c r="J68" s="46"/>
      <c r="K68" s="46"/>
      <c r="L68" s="61"/>
      <c r="M68" s="61"/>
      <c r="N68" s="61"/>
      <c r="O68" s="61"/>
      <c r="P68" s="61"/>
    </row>
    <row r="69" spans="2:16" x14ac:dyDescent="0.2">
      <c r="B69" s="1"/>
      <c r="C69" s="42"/>
      <c r="D69" s="3"/>
      <c r="E69" s="3"/>
      <c r="F69" s="3"/>
      <c r="G69" s="3"/>
      <c r="H69" s="66"/>
      <c r="I69" s="25"/>
      <c r="J69" s="1"/>
      <c r="K69" s="3"/>
      <c r="P69" s="61"/>
    </row>
    <row r="70" spans="2:16" x14ac:dyDescent="0.2">
      <c r="B70" s="7"/>
      <c r="C70" s="42"/>
      <c r="D70" s="8"/>
      <c r="E70" s="8"/>
      <c r="F70" s="8"/>
      <c r="G70" s="8"/>
      <c r="H70" s="48"/>
      <c r="J70" s="25"/>
      <c r="K70" s="25"/>
      <c r="P70" s="61"/>
    </row>
    <row r="71" spans="2:16" x14ac:dyDescent="0.2">
      <c r="B71" s="1"/>
      <c r="C71" s="42"/>
      <c r="D71" s="3"/>
      <c r="E71" s="3"/>
      <c r="F71" s="3"/>
      <c r="G71" s="3"/>
      <c r="H71" s="48"/>
      <c r="J71" s="25"/>
      <c r="K71" s="3"/>
      <c r="P71" s="61"/>
    </row>
    <row r="72" spans="2:16" x14ac:dyDescent="0.2">
      <c r="B72" s="4"/>
      <c r="C72" s="43"/>
      <c r="D72" s="6"/>
      <c r="E72" s="6"/>
      <c r="F72" s="6"/>
      <c r="G72" s="6"/>
      <c r="H72" s="48"/>
      <c r="J72" s="16"/>
      <c r="K72" s="15"/>
      <c r="P72" s="61"/>
    </row>
    <row r="73" spans="2:16" x14ac:dyDescent="0.2">
      <c r="B73" s="1"/>
      <c r="C73" s="42"/>
      <c r="D73" s="3"/>
      <c r="E73" s="3"/>
      <c r="F73" s="3"/>
      <c r="G73" s="3"/>
      <c r="H73" s="66"/>
      <c r="J73" s="1"/>
      <c r="K73" s="3"/>
      <c r="P73" s="61"/>
    </row>
    <row r="74" spans="2:16" x14ac:dyDescent="0.2">
      <c r="B74" s="1"/>
      <c r="C74" s="42"/>
      <c r="D74" s="3"/>
      <c r="E74" s="3"/>
      <c r="F74" s="3"/>
      <c r="G74" s="3"/>
      <c r="H74" s="48"/>
      <c r="J74" s="1"/>
      <c r="K74" s="3"/>
    </row>
    <row r="75" spans="2:16" x14ac:dyDescent="0.2">
      <c r="B75" s="1"/>
      <c r="C75" s="42"/>
      <c r="D75" s="3"/>
      <c r="E75" s="3"/>
      <c r="F75" s="3"/>
      <c r="G75" s="3"/>
      <c r="H75" s="6"/>
      <c r="J75" s="1"/>
      <c r="K75" s="3"/>
    </row>
    <row r="76" spans="2:16" x14ac:dyDescent="0.2">
      <c r="B76" s="4"/>
      <c r="C76" s="44"/>
      <c r="D76" s="6"/>
      <c r="E76" s="6"/>
      <c r="F76" s="6"/>
      <c r="G76" s="6"/>
      <c r="H76" s="3"/>
      <c r="J76" s="1"/>
      <c r="K76" s="3"/>
    </row>
    <row r="77" spans="2:16" x14ac:dyDescent="0.2">
      <c r="B77" s="1"/>
      <c r="C77" s="42"/>
      <c r="D77" s="3"/>
      <c r="E77" s="3"/>
      <c r="F77" s="3"/>
      <c r="G77" s="3"/>
      <c r="H77" s="3"/>
      <c r="J77" s="16"/>
      <c r="K77" s="15"/>
    </row>
    <row r="78" spans="2:16" x14ac:dyDescent="0.2">
      <c r="B78" s="1"/>
      <c r="C78" s="42"/>
      <c r="D78" s="3"/>
      <c r="E78" s="3"/>
      <c r="F78" s="3"/>
      <c r="G78" s="3"/>
      <c r="H78" s="3"/>
      <c r="J78" s="1"/>
      <c r="K78" s="3"/>
    </row>
    <row r="79" spans="2:16" x14ac:dyDescent="0.2">
      <c r="B79" s="1"/>
      <c r="C79" s="42"/>
      <c r="D79" s="3"/>
      <c r="E79" s="3"/>
      <c r="F79" s="3"/>
      <c r="G79" s="3"/>
      <c r="H79" s="6"/>
      <c r="J79" s="7"/>
      <c r="K79" s="15"/>
    </row>
    <row r="80" spans="2:16" x14ac:dyDescent="0.2">
      <c r="B80" s="162"/>
      <c r="C80" s="43"/>
      <c r="D80" s="6"/>
      <c r="E80" s="6"/>
      <c r="F80" s="6"/>
      <c r="G80" s="6"/>
      <c r="H80" s="3"/>
      <c r="J80" s="1"/>
      <c r="K80" s="3"/>
    </row>
    <row r="81" spans="2:11" x14ac:dyDescent="0.2">
      <c r="B81" s="4"/>
      <c r="C81" s="43"/>
      <c r="D81" s="6"/>
      <c r="E81" s="6"/>
      <c r="H81" s="3"/>
      <c r="J81" s="25"/>
      <c r="K81" s="24"/>
    </row>
    <row r="82" spans="2:11" x14ac:dyDescent="0.2">
      <c r="B82" s="4"/>
      <c r="C82" s="43"/>
      <c r="D82" s="6"/>
      <c r="E82" s="6"/>
      <c r="H82" s="3"/>
      <c r="J82" s="25"/>
      <c r="K82" s="24"/>
    </row>
    <row r="83" spans="2:11" x14ac:dyDescent="0.2">
      <c r="B83" s="7"/>
      <c r="C83" s="42"/>
      <c r="D83" s="8"/>
      <c r="E83" s="8"/>
      <c r="H83" s="6"/>
      <c r="J83" s="16"/>
      <c r="K83" s="15"/>
    </row>
    <row r="84" spans="2:11" x14ac:dyDescent="0.2">
      <c r="B84" s="1"/>
      <c r="C84" s="42"/>
      <c r="D84" s="3"/>
      <c r="E84" s="3"/>
      <c r="J84" s="1"/>
      <c r="K84" s="3"/>
    </row>
    <row r="85" spans="2:11" x14ac:dyDescent="0.2">
      <c r="B85" s="4"/>
      <c r="C85" s="43"/>
      <c r="D85" s="6"/>
      <c r="E85" s="6"/>
      <c r="J85" s="1"/>
      <c r="K85" s="3"/>
    </row>
    <row r="86" spans="2:11" x14ac:dyDescent="0.2">
      <c r="B86" s="7"/>
      <c r="C86" s="42"/>
      <c r="D86" s="8"/>
      <c r="E86" s="8"/>
      <c r="J86" s="25"/>
      <c r="K86" s="24"/>
    </row>
    <row r="87" spans="2:11" x14ac:dyDescent="0.2">
      <c r="B87" s="1"/>
      <c r="C87" s="42"/>
      <c r="D87" s="3"/>
      <c r="E87" s="3"/>
      <c r="J87" s="16"/>
      <c r="K87" s="15"/>
    </row>
    <row r="88" spans="2:11" x14ac:dyDescent="0.2">
      <c r="B88" s="4"/>
      <c r="C88" s="43"/>
      <c r="D88" s="6"/>
      <c r="E88" s="6"/>
      <c r="J88" s="16"/>
      <c r="K88" s="15"/>
    </row>
    <row r="89" spans="2:11" x14ac:dyDescent="0.2">
      <c r="J89" s="1"/>
      <c r="K89" s="3"/>
    </row>
    <row r="90" spans="2:11" x14ac:dyDescent="0.2">
      <c r="J90" s="4"/>
      <c r="K90" s="6"/>
    </row>
  </sheetData>
  <pageMargins left="0.7" right="0.7" top="0.75" bottom="0.75" header="0.3" footer="0.3"/>
  <pageSetup paperSize="9" orientation="portrait" horizontalDpi="0" verticalDpi="0"/>
  <ignoredErrors>
    <ignoredError sqref="N33:N3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FF660-B6C0-F545-9641-C4B8F41A5A75}">
  <dimension ref="A1:M44"/>
  <sheetViews>
    <sheetView zoomScaleNormal="100" workbookViewId="0">
      <selection activeCell="F7" sqref="F7"/>
    </sheetView>
  </sheetViews>
  <sheetFormatPr baseColWidth="10" defaultRowHeight="16" x14ac:dyDescent="0.2"/>
  <cols>
    <col min="1" max="1" width="3.6640625" customWidth="1"/>
    <col min="2" max="2" width="49" bestFit="1" customWidth="1"/>
    <col min="3" max="3" width="12.83203125" bestFit="1" customWidth="1"/>
    <col min="6" max="6" width="11.1640625" bestFit="1" customWidth="1"/>
  </cols>
  <sheetData>
    <row r="1" spans="1:12" x14ac:dyDescent="0.2">
      <c r="A1" s="61"/>
      <c r="B1" s="61"/>
      <c r="C1" s="61"/>
      <c r="D1" s="61"/>
      <c r="E1" s="61"/>
      <c r="F1" s="61"/>
      <c r="G1" s="61"/>
      <c r="H1" s="61"/>
      <c r="I1" s="61"/>
      <c r="J1" s="61"/>
      <c r="K1" s="61"/>
      <c r="L1" s="61"/>
    </row>
    <row r="2" spans="1:12" x14ac:dyDescent="0.2">
      <c r="A2" s="61"/>
      <c r="B2" s="61"/>
      <c r="C2" s="537" t="s">
        <v>302</v>
      </c>
      <c r="D2" s="537"/>
      <c r="E2" s="537"/>
      <c r="F2" s="537"/>
      <c r="G2" s="537" t="s">
        <v>297</v>
      </c>
      <c r="H2" s="537"/>
      <c r="I2" s="537"/>
      <c r="J2" s="537"/>
      <c r="K2" s="455" t="s">
        <v>296</v>
      </c>
      <c r="L2" s="61"/>
    </row>
    <row r="3" spans="1:12" x14ac:dyDescent="0.2">
      <c r="A3" s="61"/>
      <c r="B3" s="535" t="s">
        <v>391</v>
      </c>
      <c r="C3" s="203">
        <v>-3</v>
      </c>
      <c r="D3" s="204">
        <v>-2</v>
      </c>
      <c r="E3" s="204">
        <v>-1</v>
      </c>
      <c r="F3" s="472">
        <v>0</v>
      </c>
      <c r="G3" s="204">
        <v>1</v>
      </c>
      <c r="H3" s="204">
        <v>2</v>
      </c>
      <c r="I3" s="204">
        <v>3</v>
      </c>
      <c r="J3" s="205">
        <v>4</v>
      </c>
      <c r="K3" s="205">
        <v>5</v>
      </c>
      <c r="L3" s="61"/>
    </row>
    <row r="4" spans="1:12" x14ac:dyDescent="0.2">
      <c r="A4" s="61"/>
      <c r="B4" s="536"/>
      <c r="C4" s="468" t="s">
        <v>166</v>
      </c>
      <c r="D4" s="469" t="s">
        <v>167</v>
      </c>
      <c r="E4" s="469">
        <v>2019</v>
      </c>
      <c r="F4" s="473" t="s">
        <v>268</v>
      </c>
      <c r="G4" s="470">
        <v>2021</v>
      </c>
      <c r="H4" s="470">
        <v>2022</v>
      </c>
      <c r="I4" s="470">
        <v>2023</v>
      </c>
      <c r="J4" s="471">
        <v>2024</v>
      </c>
      <c r="K4" s="471">
        <v>2025</v>
      </c>
      <c r="L4" s="61"/>
    </row>
    <row r="5" spans="1:12" x14ac:dyDescent="0.2">
      <c r="A5" s="61"/>
      <c r="B5" s="234" t="s">
        <v>126</v>
      </c>
      <c r="C5" s="243">
        <f>Resultatny!K17</f>
        <v>432870.39600000001</v>
      </c>
      <c r="D5" s="71">
        <f>Resultatny!L17</f>
        <v>580783.74</v>
      </c>
      <c r="E5" s="71">
        <f>Resultatny!M17</f>
        <v>662740.30799999996</v>
      </c>
      <c r="F5" s="366">
        <f>Resultatny!O17</f>
        <v>552110.56799999997</v>
      </c>
      <c r="G5" s="71">
        <f>'F.cast Resultat'!H32</f>
        <v>565090.99893000023</v>
      </c>
      <c r="H5" s="71">
        <f>'F.cast Resultat'!I32</f>
        <v>620602.94498264033</v>
      </c>
      <c r="I5" s="71">
        <f>'F.cast Resultat'!J32</f>
        <v>669362.24515746976</v>
      </c>
      <c r="J5" s="366">
        <f>'F.cast Resultat'!K32</f>
        <v>695040.32782306522</v>
      </c>
      <c r="K5" s="366">
        <f>'F.cast Resultat'!L32</f>
        <v>722579.25712910644</v>
      </c>
      <c r="L5" s="61"/>
    </row>
    <row r="6" spans="1:12" x14ac:dyDescent="0.2">
      <c r="A6" s="61"/>
      <c r="B6" s="374" t="s">
        <v>284</v>
      </c>
      <c r="C6" s="243">
        <f>-Resultatny!K12</f>
        <v>4084</v>
      </c>
      <c r="D6" s="71">
        <f>-Resultatny!L12</f>
        <v>3707</v>
      </c>
      <c r="E6" s="71">
        <f>-Resultatny!M12</f>
        <v>12748</v>
      </c>
      <c r="F6" s="366">
        <v>9802</v>
      </c>
      <c r="G6" s="71">
        <f>-'F.cast Resultat'!H27</f>
        <v>9860.8119999999999</v>
      </c>
      <c r="H6" s="71">
        <f>-'F.cast Resultat'!I27</f>
        <v>9919.9768719999993</v>
      </c>
      <c r="I6" s="71">
        <f>-'F.cast Resultat'!J27</f>
        <v>9979.4967332319993</v>
      </c>
      <c r="J6" s="366">
        <f>-'F.cast Resultat'!K27</f>
        <v>10039.373713631392</v>
      </c>
      <c r="K6" s="366">
        <f>-'F.cast Resultat'!L27</f>
        <v>10099.60995591318</v>
      </c>
      <c r="L6" s="61"/>
    </row>
    <row r="7" spans="1:12" x14ac:dyDescent="0.2">
      <c r="A7" s="61"/>
      <c r="B7" s="374" t="s">
        <v>295</v>
      </c>
      <c r="C7" s="243">
        <f>-(Balanseny!D108-Balanseny!C108)</f>
        <v>-86573</v>
      </c>
      <c r="D7" s="71">
        <f>-(Balanseny!E108-Balanseny!D108)</f>
        <v>15139</v>
      </c>
      <c r="E7" s="71">
        <f>-(Balanseny!F108-Balanseny!E108)</f>
        <v>1004545</v>
      </c>
      <c r="F7" s="366">
        <f>-(Balanseny!G108-Balanseny!F108)</f>
        <v>-456529</v>
      </c>
      <c r="G7" s="71">
        <f>-('F.cast Balanse'!H39-'F.cast Balanse'!G39)</f>
        <v>-267724</v>
      </c>
      <c r="H7" s="71">
        <f>-('F.cast Balanse'!I39-'F.cast Balanse'!H39)</f>
        <v>-339941.70000000112</v>
      </c>
      <c r="I7" s="71">
        <f>-('F.cast Balanse'!J39-'F.cast Balanse'!I39)</f>
        <v>-186967.93500000052</v>
      </c>
      <c r="J7" s="366">
        <f>-('F.cast Balanse'!K39-'F.cast Balanse'!J39)</f>
        <v>-196316.33174999943</v>
      </c>
      <c r="K7" s="366">
        <f>-('F.cast Balanse'!L39-'F.cast Balanse'!K39)</f>
        <v>-206132.1483374997</v>
      </c>
      <c r="L7" s="61"/>
    </row>
    <row r="8" spans="1:12" x14ac:dyDescent="0.2">
      <c r="A8" s="61"/>
      <c r="B8" s="374" t="s">
        <v>294</v>
      </c>
      <c r="C8" s="243">
        <f>-(Balanseny!D100+'F.cast FCF'!C6-Balanseny!C100)</f>
        <v>-121252</v>
      </c>
      <c r="D8" s="71">
        <f>-(Balanseny!E100+'F.cast FCF'!D6-Balanseny!D100)</f>
        <v>-203876</v>
      </c>
      <c r="E8" s="71">
        <f>-(Balanseny!F100+'F.cast FCF'!E6-Balanseny!E100)</f>
        <v>106773</v>
      </c>
      <c r="F8" s="366">
        <f>-(Balanseny!G100+'F.cast FCF'!F6-Balanseny!F100)</f>
        <v>76406</v>
      </c>
      <c r="G8" s="71">
        <f>-('F.cast Balanse'!H31+'F.cast FCF'!G6-'F.cast Balanse'!G31)</f>
        <v>-118446.16599999985</v>
      </c>
      <c r="H8" s="71">
        <f>-('F.cast Balanse'!I31+'F.cast FCF'!H6-'F.cast Balanse'!H31)</f>
        <v>-71465.612272000406</v>
      </c>
      <c r="I8" s="71">
        <f>-('F.cast Balanse'!J31+'F.cast FCF'!I6-'F.cast Balanse'!I31)</f>
        <v>-43829.596203231718</v>
      </c>
      <c r="J8" s="366">
        <f>-('F.cast Balanse'!K31+'F.cast FCF'!J6-'F.cast Balanse'!J31)</f>
        <v>-45581.978157131467</v>
      </c>
      <c r="K8" s="366">
        <f>-('F.cast Balanse'!L31+'F.cast FCF'!K6-'F.cast Balanse'!K31)</f>
        <v>-47419.344621588243</v>
      </c>
      <c r="L8" s="61"/>
    </row>
    <row r="9" spans="1:12" x14ac:dyDescent="0.2">
      <c r="A9" s="61"/>
      <c r="B9" s="375" t="s">
        <v>286</v>
      </c>
      <c r="C9" s="376">
        <f>C5+C6+C7+C8</f>
        <v>229129.39600000001</v>
      </c>
      <c r="D9" s="377">
        <f t="shared" ref="D9:F9" si="0">D5+D6+D7+D8</f>
        <v>395753.74</v>
      </c>
      <c r="E9" s="377">
        <f t="shared" si="0"/>
        <v>1786806.308</v>
      </c>
      <c r="F9" s="378">
        <f t="shared" si="0"/>
        <v>181789.56799999997</v>
      </c>
      <c r="G9" s="377">
        <f>SUM(G5:G8)</f>
        <v>188781.64493000042</v>
      </c>
      <c r="H9" s="377">
        <f t="shared" ref="H9:K9" si="1">SUM(H5:H8)</f>
        <v>219115.60958263883</v>
      </c>
      <c r="I9" s="377">
        <f t="shared" si="1"/>
        <v>448544.21068746957</v>
      </c>
      <c r="J9" s="378">
        <f t="shared" si="1"/>
        <v>463181.39162956574</v>
      </c>
      <c r="K9" s="378">
        <f t="shared" si="1"/>
        <v>479127.37412593164</v>
      </c>
      <c r="L9" s="61"/>
    </row>
    <row r="10" spans="1:12" x14ac:dyDescent="0.2">
      <c r="A10" s="61"/>
      <c r="B10" s="234" t="s">
        <v>289</v>
      </c>
      <c r="C10" s="243">
        <f>(Balanseny!K101-Balanseny!K99)-(Balanseny!J101-Balanseny!J99)</f>
        <v>-355861</v>
      </c>
      <c r="D10" s="71">
        <f>(Balanseny!L101-Balanseny!L99)-(Balanseny!K101-Balanseny!K99)</f>
        <v>98509</v>
      </c>
      <c r="E10" s="71">
        <f>(Balanseny!M101-Balanseny!M99)-(Balanseny!L101-Balanseny!L99)</f>
        <v>-868362</v>
      </c>
      <c r="F10" s="366">
        <f>(Balanseny!N101-Balanseny!N99)-(Balanseny!M101-Balanseny!M99)</f>
        <v>1021237</v>
      </c>
      <c r="G10" s="71">
        <f>('F.cast Balanse'!H57-'F.cast Balanse'!H55)-('F.cast Balanse'!G57-'F.cast Balanse'!G55)</f>
        <v>21824.341599999927</v>
      </c>
      <c r="H10" s="71">
        <f>('F.cast Balanse'!I57-'F.cast Balanse'!I55)-('F.cast Balanse'!H57-'F.cast Balanse'!H55)</f>
        <v>160594.93416000064</v>
      </c>
      <c r="I10" s="71">
        <f>('F.cast Balanse'!J57-'F.cast Balanse'!J55)-('F.cast Balanse'!I57-'F.cast Balanse'!I55)</f>
        <v>88327.213787999935</v>
      </c>
      <c r="J10" s="366">
        <f>('F.cast Balanse'!K57-'F.cast Balanse'!K55)-('F.cast Balanse'!J57-'F.cast Balanse'!J55)</f>
        <v>92743.574477400165</v>
      </c>
      <c r="K10" s="366">
        <f>('F.cast Balanse'!L57-'F.cast Balanse'!L55)-('F.cast Balanse'!K57-'F.cast Balanse'!K55)</f>
        <v>97380.75320127001</v>
      </c>
      <c r="L10" s="61"/>
    </row>
    <row r="11" spans="1:12" x14ac:dyDescent="0.2">
      <c r="A11" s="61"/>
      <c r="B11" s="234" t="s">
        <v>18</v>
      </c>
      <c r="C11" s="243">
        <f>Resultatny!K18</f>
        <v>12749</v>
      </c>
      <c r="D11" s="71">
        <f>Resultatny!L18</f>
        <v>10219</v>
      </c>
      <c r="E11" s="71">
        <f>Resultatny!M18</f>
        <v>16742</v>
      </c>
      <c r="F11" s="366">
        <f>Resultatny!O18</f>
        <v>21313</v>
      </c>
      <c r="G11" s="71">
        <f>'F.cast Resultat'!H33</f>
        <v>10525.57</v>
      </c>
      <c r="H11" s="71">
        <f>'F.cast Resultat'!I33</f>
        <v>10841.337100000001</v>
      </c>
      <c r="I11" s="71">
        <f>'F.cast Resultat'!J33</f>
        <v>11166.577213</v>
      </c>
      <c r="J11" s="366">
        <f>'F.cast Resultat'!K33</f>
        <v>11501.57452939</v>
      </c>
      <c r="K11" s="366">
        <f>'F.cast Resultat'!L33</f>
        <v>11846.6217652717</v>
      </c>
      <c r="L11" s="61"/>
    </row>
    <row r="12" spans="1:12" x14ac:dyDescent="0.2">
      <c r="A12" s="61"/>
      <c r="B12" s="234" t="s">
        <v>208</v>
      </c>
      <c r="C12" s="243">
        <f>Resultatny!K19</f>
        <v>0</v>
      </c>
      <c r="D12" s="71">
        <f>Resultatny!L19</f>
        <v>0</v>
      </c>
      <c r="E12" s="71">
        <f>Resultatny!M19</f>
        <v>0</v>
      </c>
      <c r="F12" s="366">
        <f>Resultatny!O19</f>
        <v>1045127</v>
      </c>
      <c r="G12" s="71">
        <f>'F.cast Resultat'!H34</f>
        <v>0</v>
      </c>
      <c r="H12" s="71">
        <f>'F.cast Resultat'!I34</f>
        <v>0</v>
      </c>
      <c r="I12" s="71">
        <f>'F.cast Resultat'!J34</f>
        <v>0</v>
      </c>
      <c r="J12" s="366">
        <f>'F.cast Resultat'!K34</f>
        <v>0</v>
      </c>
      <c r="K12" s="366">
        <f>'F.cast Resultat'!L34</f>
        <v>0</v>
      </c>
      <c r="L12" s="61"/>
    </row>
    <row r="13" spans="1:12" x14ac:dyDescent="0.2">
      <c r="A13" s="61"/>
      <c r="B13" s="234" t="s">
        <v>20</v>
      </c>
      <c r="C13" s="243">
        <f>Resultatny!K20</f>
        <v>-52600</v>
      </c>
      <c r="D13" s="71">
        <f>Resultatny!L20</f>
        <v>-28229</v>
      </c>
      <c r="E13" s="71">
        <f>Resultatny!M20</f>
        <v>-27480</v>
      </c>
      <c r="F13" s="366">
        <f>Resultatny!O20</f>
        <v>-11648</v>
      </c>
      <c r="G13" s="71">
        <f>'F.cast Resultat'!H35</f>
        <v>-29358.16</v>
      </c>
      <c r="H13" s="71">
        <f>'F.cast Resultat'!I35</f>
        <v>-30532.486400000002</v>
      </c>
      <c r="I13" s="71">
        <f>'F.cast Resultat'!J35</f>
        <v>-31753.785856000002</v>
      </c>
      <c r="J13" s="366">
        <f>'F.cast Resultat'!K35</f>
        <v>-33023.937290240006</v>
      </c>
      <c r="K13" s="366">
        <f>'F.cast Resultat'!L35</f>
        <v>-34344.894781849609</v>
      </c>
      <c r="L13" s="61"/>
    </row>
    <row r="14" spans="1:12" x14ac:dyDescent="0.2">
      <c r="A14" s="61"/>
      <c r="B14" s="234" t="s">
        <v>209</v>
      </c>
      <c r="C14" s="243">
        <f>Resultatny!K21</f>
        <v>8129.6039999999994</v>
      </c>
      <c r="D14" s="71">
        <f>Resultatny!L21</f>
        <v>4070.26</v>
      </c>
      <c r="E14" s="71">
        <f>Resultatny!M21</f>
        <v>2512.692</v>
      </c>
      <c r="F14" s="366">
        <f>Resultatny!O21</f>
        <v>-83328.567999999999</v>
      </c>
      <c r="G14" s="71">
        <f>'F.cast Resultat'!H36</f>
        <v>1487.7746099999999</v>
      </c>
      <c r="H14" s="71">
        <f>'F.cast Resultat'!I36</f>
        <v>1555.6007947000001</v>
      </c>
      <c r="I14" s="71">
        <f>'F.cast Resultat'!J36</f>
        <v>1626.3894827970003</v>
      </c>
      <c r="J14" s="366">
        <f>'F.cast Resultat'!K36</f>
        <v>1700.2666581071505</v>
      </c>
      <c r="K14" s="366">
        <f>'F.cast Resultat'!L36</f>
        <v>1777.3635683096547</v>
      </c>
      <c r="L14" s="61"/>
    </row>
    <row r="15" spans="1:12" x14ac:dyDescent="0.2">
      <c r="A15" s="61"/>
      <c r="B15" s="375" t="s">
        <v>290</v>
      </c>
      <c r="C15" s="376">
        <f>C9+C10+C11+C12+C13+C14</f>
        <v>-158453</v>
      </c>
      <c r="D15" s="377">
        <f t="shared" ref="D15:F15" si="2">D9+D10+D11+D12+D13+D14</f>
        <v>480323</v>
      </c>
      <c r="E15" s="377">
        <f t="shared" si="2"/>
        <v>910219</v>
      </c>
      <c r="F15" s="378">
        <f t="shared" si="2"/>
        <v>2174490</v>
      </c>
      <c r="G15" s="377">
        <f>G9+G10+G11+G12+G13+G14</f>
        <v>193261.17114000034</v>
      </c>
      <c r="H15" s="377">
        <f t="shared" ref="H15:K15" si="3">H9+H10+H11+H12+H13+H14</f>
        <v>361574.99523733946</v>
      </c>
      <c r="I15" s="377">
        <f t="shared" si="3"/>
        <v>517910.60531526653</v>
      </c>
      <c r="J15" s="378">
        <f t="shared" si="3"/>
        <v>536102.87000422308</v>
      </c>
      <c r="K15" s="378">
        <f t="shared" si="3"/>
        <v>555787.21787893341</v>
      </c>
      <c r="L15" s="61"/>
    </row>
    <row r="16" spans="1:12" x14ac:dyDescent="0.2">
      <c r="A16" s="61"/>
      <c r="B16" s="234" t="s">
        <v>291</v>
      </c>
      <c r="C16" s="243">
        <f>-(Balanseny!J92-Balanseny!K92+Resultatny!K22)</f>
        <v>-242179</v>
      </c>
      <c r="D16" s="71">
        <f>-(Balanseny!K92-Balanseny!L92+Resultatny!L22)</f>
        <v>-308850</v>
      </c>
      <c r="E16" s="71">
        <f>-(Balanseny!L92-Balanseny!M92+Resultatny!M22)</f>
        <v>-388567</v>
      </c>
      <c r="F16" s="366">
        <f>-(Balanseny!M92-Balanseny!N92+Resultatny!O22)</f>
        <v>-2467843</v>
      </c>
      <c r="G16" s="71">
        <f>-('F.cast Balanse'!G48-'F.cast Balanse'!H48+'F.cast Resultat'!H37)</f>
        <v>-193261.17113999976</v>
      </c>
      <c r="H16" s="71">
        <f>-('F.cast Balanse'!H48-'F.cast Balanse'!I48+'F.cast Resultat'!I37)</f>
        <v>-361574.99523733975</v>
      </c>
      <c r="I16" s="71">
        <f>-('F.cast Balanse'!I48-'F.cast Balanse'!J48+'F.cast Resultat'!J37)</f>
        <v>-517910.60531526641</v>
      </c>
      <c r="J16" s="366">
        <f>-('F.cast Balanse'!J48-'F.cast Balanse'!K48+'F.cast Resultat'!K37)</f>
        <v>-536102.87000422284</v>
      </c>
      <c r="K16" s="366">
        <f>-('F.cast Balanse'!K48-'F.cast Balanse'!L48+'F.cast Resultat'!L37)</f>
        <v>-555787.21787893388</v>
      </c>
      <c r="L16" s="61"/>
    </row>
    <row r="17" spans="1:13" x14ac:dyDescent="0.2">
      <c r="A17" s="61"/>
      <c r="B17" s="375" t="s">
        <v>287</v>
      </c>
      <c r="C17" s="376">
        <f>C15+C16</f>
        <v>-400632</v>
      </c>
      <c r="D17" s="377">
        <f t="shared" ref="D17:F17" si="4">D15+D16</f>
        <v>171473</v>
      </c>
      <c r="E17" s="377">
        <f t="shared" si="4"/>
        <v>521652</v>
      </c>
      <c r="F17" s="378">
        <f t="shared" si="4"/>
        <v>-293353</v>
      </c>
      <c r="G17" s="379" t="s">
        <v>285</v>
      </c>
      <c r="H17" s="379" t="s">
        <v>285</v>
      </c>
      <c r="I17" s="377">
        <f t="shared" ref="I17:K17" si="5">I15+I16</f>
        <v>0</v>
      </c>
      <c r="J17" s="378">
        <f t="shared" si="5"/>
        <v>0</v>
      </c>
      <c r="K17" s="378">
        <f t="shared" si="5"/>
        <v>0</v>
      </c>
      <c r="L17" s="61"/>
    </row>
    <row r="18" spans="1:13" x14ac:dyDescent="0.2">
      <c r="A18" s="61"/>
      <c r="B18" s="234"/>
      <c r="C18" s="234"/>
      <c r="D18" s="61"/>
      <c r="E18" s="61"/>
      <c r="F18" s="284"/>
      <c r="G18" s="71"/>
      <c r="H18" s="71"/>
      <c r="I18" s="71"/>
      <c r="J18" s="366"/>
      <c r="K18" s="366"/>
      <c r="L18" s="61"/>
      <c r="M18" s="12"/>
    </row>
    <row r="19" spans="1:13" x14ac:dyDescent="0.2">
      <c r="A19" s="61"/>
      <c r="B19" s="234" t="s">
        <v>292</v>
      </c>
      <c r="C19" s="243">
        <f>-Balanseny!J99</f>
        <v>886193</v>
      </c>
      <c r="D19" s="71">
        <f>-Balanseny!K99</f>
        <v>485561</v>
      </c>
      <c r="E19" s="71">
        <f>-Balanseny!L99</f>
        <v>657034</v>
      </c>
      <c r="F19" s="366">
        <f>-Balanseny!M99</f>
        <v>1178686</v>
      </c>
      <c r="G19" s="71">
        <f>F21</f>
        <v>885333</v>
      </c>
      <c r="H19" s="71">
        <f>G19</f>
        <v>885333</v>
      </c>
      <c r="I19" s="71">
        <f t="shared" ref="I19:K19" si="6">H19</f>
        <v>885333</v>
      </c>
      <c r="J19" s="366">
        <f t="shared" si="6"/>
        <v>885333</v>
      </c>
      <c r="K19" s="366">
        <f t="shared" si="6"/>
        <v>885333</v>
      </c>
      <c r="L19" s="61"/>
    </row>
    <row r="20" spans="1:13" x14ac:dyDescent="0.2">
      <c r="A20" s="61"/>
      <c r="B20" s="374" t="s">
        <v>288</v>
      </c>
      <c r="C20" s="243">
        <f>C17</f>
        <v>-400632</v>
      </c>
      <c r="D20" s="71">
        <f t="shared" ref="D20:F20" si="7">D17</f>
        <v>171473</v>
      </c>
      <c r="E20" s="71">
        <f t="shared" si="7"/>
        <v>521652</v>
      </c>
      <c r="F20" s="366">
        <f t="shared" si="7"/>
        <v>-293353</v>
      </c>
      <c r="G20" s="71">
        <v>0</v>
      </c>
      <c r="H20" s="71">
        <v>0</v>
      </c>
      <c r="I20" s="71">
        <v>0</v>
      </c>
      <c r="J20" s="366">
        <v>0</v>
      </c>
      <c r="K20" s="366">
        <v>0</v>
      </c>
      <c r="L20" s="61"/>
    </row>
    <row r="21" spans="1:13" x14ac:dyDescent="0.2">
      <c r="A21" s="61"/>
      <c r="B21" s="478" t="s">
        <v>293</v>
      </c>
      <c r="C21" s="479">
        <f>C19+C20</f>
        <v>485561</v>
      </c>
      <c r="D21" s="480">
        <f t="shared" ref="D21:F21" si="8">D19+D20</f>
        <v>657034</v>
      </c>
      <c r="E21" s="480">
        <f t="shared" si="8"/>
        <v>1178686</v>
      </c>
      <c r="F21" s="481">
        <f t="shared" si="8"/>
        <v>885333</v>
      </c>
      <c r="G21" s="480">
        <f>G19</f>
        <v>885333</v>
      </c>
      <c r="H21" s="480">
        <f t="shared" ref="H21:K21" si="9">H19</f>
        <v>885333</v>
      </c>
      <c r="I21" s="480">
        <f t="shared" si="9"/>
        <v>885333</v>
      </c>
      <c r="J21" s="481">
        <f t="shared" si="9"/>
        <v>885333</v>
      </c>
      <c r="K21" s="481">
        <f t="shared" si="9"/>
        <v>885333</v>
      </c>
      <c r="L21" s="61"/>
    </row>
    <row r="22" spans="1:13" x14ac:dyDescent="0.2">
      <c r="A22" s="61"/>
      <c r="B22" s="61"/>
      <c r="C22" s="61"/>
      <c r="D22" s="61"/>
      <c r="E22" s="61"/>
      <c r="F22" s="61"/>
      <c r="G22" s="61"/>
      <c r="H22" s="61"/>
      <c r="I22" s="61"/>
      <c r="J22" s="61"/>
      <c r="K22" s="61"/>
      <c r="L22" s="61"/>
    </row>
    <row r="23" spans="1:13" x14ac:dyDescent="0.2">
      <c r="A23" s="61"/>
      <c r="B23" s="61"/>
      <c r="C23" s="61"/>
      <c r="D23" s="61"/>
      <c r="E23" s="61"/>
      <c r="F23" s="61"/>
      <c r="G23" s="61"/>
      <c r="H23" s="61"/>
      <c r="I23" s="61"/>
      <c r="J23" s="61"/>
      <c r="K23" s="61"/>
      <c r="L23" s="61"/>
    </row>
    <row r="24" spans="1:13" x14ac:dyDescent="0.2">
      <c r="A24" s="61"/>
      <c r="B24" s="61"/>
      <c r="C24" s="370">
        <v>2017</v>
      </c>
      <c r="D24" s="371">
        <v>2018</v>
      </c>
      <c r="E24" s="372">
        <v>2019</v>
      </c>
      <c r="F24" s="373">
        <v>2020</v>
      </c>
      <c r="G24" s="285">
        <v>2021</v>
      </c>
      <c r="H24" s="285">
        <v>2022</v>
      </c>
      <c r="I24" s="285">
        <v>2023</v>
      </c>
      <c r="J24" s="285">
        <v>2024</v>
      </c>
      <c r="K24" s="286">
        <v>2025</v>
      </c>
      <c r="L24" s="61"/>
    </row>
    <row r="25" spans="1:13" x14ac:dyDescent="0.2">
      <c r="A25" s="61"/>
      <c r="B25" s="375" t="s">
        <v>286</v>
      </c>
      <c r="C25" s="71">
        <f>C9</f>
        <v>229129.39600000001</v>
      </c>
      <c r="D25" s="71">
        <f t="shared" ref="D25:K25" si="10">D9</f>
        <v>395753.74</v>
      </c>
      <c r="E25" s="71">
        <f t="shared" si="10"/>
        <v>1786806.308</v>
      </c>
      <c r="F25" s="71">
        <f t="shared" si="10"/>
        <v>181789.56799999997</v>
      </c>
      <c r="G25" s="71">
        <f t="shared" si="10"/>
        <v>188781.64493000042</v>
      </c>
      <c r="H25" s="71">
        <f t="shared" si="10"/>
        <v>219115.60958263883</v>
      </c>
      <c r="I25" s="71">
        <f t="shared" si="10"/>
        <v>448544.21068746957</v>
      </c>
      <c r="J25" s="71">
        <f t="shared" si="10"/>
        <v>463181.39162956574</v>
      </c>
      <c r="K25" s="71">
        <f t="shared" si="10"/>
        <v>479127.37412593164</v>
      </c>
      <c r="L25" s="61"/>
    </row>
    <row r="26" spans="1:13" x14ac:dyDescent="0.2">
      <c r="A26" s="61"/>
      <c r="B26" s="375" t="s">
        <v>290</v>
      </c>
      <c r="C26" s="71">
        <f>C15</f>
        <v>-158453</v>
      </c>
      <c r="D26" s="71">
        <f t="shared" ref="D26:K26" si="11">D15</f>
        <v>480323</v>
      </c>
      <c r="E26" s="71">
        <f t="shared" si="11"/>
        <v>910219</v>
      </c>
      <c r="F26" s="71">
        <f t="shared" si="11"/>
        <v>2174490</v>
      </c>
      <c r="G26" s="71">
        <f t="shared" si="11"/>
        <v>193261.17114000034</v>
      </c>
      <c r="H26" s="71">
        <f t="shared" si="11"/>
        <v>361574.99523733946</v>
      </c>
      <c r="I26" s="71">
        <f t="shared" si="11"/>
        <v>517910.60531526653</v>
      </c>
      <c r="J26" s="71">
        <f t="shared" si="11"/>
        <v>536102.87000422308</v>
      </c>
      <c r="K26" s="71">
        <f t="shared" si="11"/>
        <v>555787.21787893341</v>
      </c>
      <c r="L26" s="61"/>
    </row>
    <row r="27" spans="1:13" x14ac:dyDescent="0.2">
      <c r="A27" s="61"/>
      <c r="B27" s="61"/>
      <c r="C27" s="61"/>
      <c r="D27" s="61"/>
      <c r="E27" s="61"/>
      <c r="F27" s="61"/>
      <c r="G27" s="61"/>
      <c r="H27" s="61"/>
      <c r="I27" s="61"/>
      <c r="J27" s="61"/>
      <c r="K27" s="61"/>
      <c r="L27" s="61"/>
    </row>
    <row r="28" spans="1:13" x14ac:dyDescent="0.2">
      <c r="A28" s="61"/>
      <c r="B28" s="61"/>
      <c r="C28" s="61"/>
      <c r="D28" s="61"/>
      <c r="E28" s="61"/>
      <c r="F28" s="61"/>
      <c r="G28" s="61"/>
      <c r="H28" s="61"/>
      <c r="I28" s="61"/>
      <c r="J28" s="61"/>
      <c r="K28" s="61"/>
      <c r="L28" s="61"/>
    </row>
    <row r="29" spans="1:13" x14ac:dyDescent="0.2">
      <c r="B29" s="330"/>
      <c r="C29" s="12"/>
      <c r="D29" s="12"/>
      <c r="E29" s="12"/>
      <c r="F29" s="12"/>
    </row>
    <row r="30" spans="1:13" x14ac:dyDescent="0.2">
      <c r="B30" s="330"/>
      <c r="C30" s="12"/>
      <c r="D30" s="12"/>
      <c r="E30" s="12"/>
      <c r="F30" s="12"/>
    </row>
    <row r="31" spans="1:13" x14ac:dyDescent="0.2">
      <c r="B31" s="330"/>
      <c r="C31" s="12"/>
      <c r="D31" s="12"/>
      <c r="E31" s="12"/>
      <c r="F31" s="12"/>
    </row>
    <row r="32" spans="1:13" x14ac:dyDescent="0.2">
      <c r="B32" s="9"/>
      <c r="C32" s="12"/>
      <c r="D32" s="12"/>
      <c r="E32" s="12"/>
      <c r="F32" s="12"/>
    </row>
    <row r="33" spans="2:6" x14ac:dyDescent="0.2">
      <c r="C33" s="12"/>
      <c r="D33" s="12"/>
      <c r="E33" s="12"/>
      <c r="F33" s="12"/>
    </row>
    <row r="34" spans="2:6" x14ac:dyDescent="0.2">
      <c r="C34" s="12"/>
      <c r="D34" s="12"/>
      <c r="E34" s="12"/>
      <c r="F34" s="12"/>
    </row>
    <row r="35" spans="2:6" x14ac:dyDescent="0.2">
      <c r="C35" s="12"/>
      <c r="D35" s="12"/>
      <c r="E35" s="12"/>
      <c r="F35" s="12"/>
    </row>
    <row r="36" spans="2:6" x14ac:dyDescent="0.2">
      <c r="C36" s="12"/>
      <c r="D36" s="12"/>
      <c r="E36" s="12"/>
      <c r="F36" s="12"/>
    </row>
    <row r="37" spans="2:6" x14ac:dyDescent="0.2">
      <c r="C37" s="12"/>
      <c r="D37" s="12"/>
      <c r="E37" s="12"/>
      <c r="F37" s="12"/>
    </row>
    <row r="38" spans="2:6" x14ac:dyDescent="0.2">
      <c r="B38" s="9"/>
      <c r="C38" s="12"/>
      <c r="D38" s="12"/>
      <c r="E38" s="12"/>
      <c r="F38" s="12"/>
    </row>
    <row r="39" spans="2:6" x14ac:dyDescent="0.2">
      <c r="C39" s="12"/>
      <c r="D39" s="12"/>
      <c r="E39" s="12"/>
      <c r="F39" s="12"/>
    </row>
    <row r="40" spans="2:6" x14ac:dyDescent="0.2">
      <c r="B40" s="9"/>
      <c r="C40" s="12"/>
      <c r="D40" s="12"/>
      <c r="E40" s="12"/>
      <c r="F40" s="12"/>
    </row>
    <row r="41" spans="2:6" x14ac:dyDescent="0.2">
      <c r="C41" s="12"/>
      <c r="D41" s="12"/>
      <c r="E41" s="12"/>
      <c r="F41" s="12"/>
    </row>
    <row r="42" spans="2:6" x14ac:dyDescent="0.2">
      <c r="C42" s="12"/>
      <c r="D42" s="12"/>
      <c r="E42" s="12"/>
      <c r="F42" s="12"/>
    </row>
    <row r="43" spans="2:6" x14ac:dyDescent="0.2">
      <c r="B43" s="330"/>
      <c r="C43" s="12"/>
      <c r="D43" s="12"/>
      <c r="E43" s="12"/>
      <c r="F43" s="12"/>
    </row>
    <row r="44" spans="2:6" x14ac:dyDescent="0.2">
      <c r="B44" s="331"/>
      <c r="C44" s="12"/>
      <c r="D44" s="12"/>
      <c r="E44" s="12"/>
      <c r="F44" s="12"/>
    </row>
  </sheetData>
  <mergeCells count="3">
    <mergeCell ref="B3:B4"/>
    <mergeCell ref="C2:F2"/>
    <mergeCell ref="G2:J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71AE1-7AF6-4E4D-A46B-4B29BDCDE11F}">
  <dimension ref="A1:T83"/>
  <sheetViews>
    <sheetView topLeftCell="A10" workbookViewId="0">
      <selection activeCell="J42" sqref="J42"/>
    </sheetView>
  </sheetViews>
  <sheetFormatPr baseColWidth="10" defaultRowHeight="16" x14ac:dyDescent="0.2"/>
  <cols>
    <col min="1" max="1" width="3.83203125" customWidth="1"/>
    <col min="2" max="2" width="44.83203125" customWidth="1"/>
    <col min="3" max="3" width="13.6640625" bestFit="1" customWidth="1"/>
    <col min="4" max="4" width="16.33203125" bestFit="1" customWidth="1"/>
    <col min="5" max="8" width="11.33203125" customWidth="1"/>
    <col min="10" max="10" width="13.33203125" bestFit="1" customWidth="1"/>
  </cols>
  <sheetData>
    <row r="1" spans="1:20" x14ac:dyDescent="0.2">
      <c r="A1" s="61"/>
      <c r="B1" s="61"/>
      <c r="C1" s="61"/>
      <c r="D1" s="61"/>
      <c r="E1" s="61"/>
      <c r="F1" s="61"/>
      <c r="G1" s="61"/>
      <c r="H1" s="61"/>
      <c r="I1" s="61"/>
    </row>
    <row r="2" spans="1:20" x14ac:dyDescent="0.2">
      <c r="A2" s="61"/>
      <c r="C2" s="502" t="s">
        <v>302</v>
      </c>
      <c r="D2" s="540" t="s">
        <v>297</v>
      </c>
      <c r="E2" s="540"/>
      <c r="F2" s="540"/>
      <c r="G2" s="540"/>
      <c r="H2" s="503" t="s">
        <v>296</v>
      </c>
      <c r="I2" s="61"/>
    </row>
    <row r="3" spans="1:20" x14ac:dyDescent="0.2">
      <c r="A3" s="61"/>
      <c r="B3" s="538" t="s">
        <v>343</v>
      </c>
      <c r="C3" s="504">
        <v>0</v>
      </c>
      <c r="D3" s="449">
        <v>1</v>
      </c>
      <c r="E3" s="449">
        <v>2</v>
      </c>
      <c r="F3" s="449">
        <v>3</v>
      </c>
      <c r="G3" s="449">
        <v>4</v>
      </c>
      <c r="H3" s="505">
        <v>5</v>
      </c>
      <c r="I3" s="61"/>
    </row>
    <row r="4" spans="1:20" x14ac:dyDescent="0.2">
      <c r="A4" s="61"/>
      <c r="B4" s="539"/>
      <c r="C4" s="461">
        <v>2020</v>
      </c>
      <c r="D4" s="460">
        <v>2021</v>
      </c>
      <c r="E4" s="460">
        <v>2022</v>
      </c>
      <c r="F4" s="460">
        <v>2023</v>
      </c>
      <c r="G4" s="460">
        <v>2024</v>
      </c>
      <c r="H4" s="461">
        <v>2025</v>
      </c>
      <c r="I4" s="61"/>
    </row>
    <row r="5" spans="1:20" x14ac:dyDescent="0.2">
      <c r="A5" s="61"/>
      <c r="B5" s="232" t="s">
        <v>329</v>
      </c>
      <c r="C5" s="421"/>
      <c r="D5" s="211">
        <f>'F.cast FCF'!G15</f>
        <v>193261.17114000034</v>
      </c>
      <c r="E5" s="211">
        <f>'F.cast FCF'!H15</f>
        <v>361574.99523733946</v>
      </c>
      <c r="F5" s="211">
        <f>'F.cast FCF'!I15</f>
        <v>517910.60531526653</v>
      </c>
      <c r="G5" s="212">
        <f>'F.cast FCF'!J15</f>
        <v>536102.87000422308</v>
      </c>
      <c r="H5" s="212">
        <f>'F.cast FCF'!K15</f>
        <v>555787.21787893341</v>
      </c>
      <c r="I5" s="61"/>
      <c r="J5" s="144">
        <f>(E5-D5)/D5</f>
        <v>0.87091381628548081</v>
      </c>
      <c r="K5" s="144">
        <f t="shared" ref="K5:M5" si="0">(F5-E5)/E5</f>
        <v>0.43237395322457978</v>
      </c>
      <c r="L5" s="144">
        <f t="shared" si="0"/>
        <v>3.5126264073859652E-2</v>
      </c>
      <c r="M5" s="144">
        <f t="shared" si="0"/>
        <v>3.6717482737138256E-2</v>
      </c>
      <c r="N5" s="144"/>
    </row>
    <row r="6" spans="1:20" x14ac:dyDescent="0.2">
      <c r="A6" s="61"/>
      <c r="B6" s="234" t="s">
        <v>214</v>
      </c>
      <c r="C6" s="267"/>
      <c r="D6" s="360">
        <v>0.11899999999999999</v>
      </c>
      <c r="E6" s="360">
        <v>0.11899999999999999</v>
      </c>
      <c r="F6" s="360">
        <v>0.11899999999999999</v>
      </c>
      <c r="G6" s="361">
        <v>0.11899999999999999</v>
      </c>
      <c r="H6" s="361">
        <v>0.11899999999999999</v>
      </c>
      <c r="I6" s="61"/>
    </row>
    <row r="7" spans="1:20" x14ac:dyDescent="0.2">
      <c r="A7" s="61"/>
      <c r="B7" s="232" t="s">
        <v>321</v>
      </c>
      <c r="C7" s="421"/>
      <c r="D7" s="201"/>
      <c r="E7" s="201"/>
      <c r="F7" s="201"/>
      <c r="G7" s="318"/>
      <c r="H7" s="293">
        <v>0.04</v>
      </c>
      <c r="I7" s="61"/>
    </row>
    <row r="8" spans="1:20" x14ac:dyDescent="0.2">
      <c r="A8" s="61"/>
      <c r="B8" s="234" t="s">
        <v>325</v>
      </c>
      <c r="C8" s="267"/>
      <c r="D8" s="395">
        <f>(1+D6)^D3</f>
        <v>1.119</v>
      </c>
      <c r="E8" s="395">
        <f>(1+E6)^E3</f>
        <v>1.2521610000000001</v>
      </c>
      <c r="F8" s="395">
        <f>(1+F6)^F3</f>
        <v>1.401168159</v>
      </c>
      <c r="G8" s="396">
        <f>(1+G6)^G3</f>
        <v>1.5679071699210001</v>
      </c>
      <c r="H8" s="396">
        <f>(1+H6)^H3</f>
        <v>1.7544881231415992</v>
      </c>
      <c r="I8" s="61"/>
      <c r="J8" s="61"/>
      <c r="K8" s="61"/>
      <c r="L8" s="61"/>
      <c r="M8" s="61"/>
      <c r="N8" s="61"/>
      <c r="O8" s="61"/>
      <c r="P8" s="61"/>
      <c r="Q8" s="61"/>
      <c r="R8" s="61"/>
      <c r="S8" s="61"/>
      <c r="T8" s="61"/>
    </row>
    <row r="9" spans="1:20" x14ac:dyDescent="0.2">
      <c r="A9" s="61"/>
      <c r="B9" s="232" t="s">
        <v>322</v>
      </c>
      <c r="C9" s="500"/>
      <c r="D9" s="211">
        <f>D5/D8</f>
        <v>172708.82139410218</v>
      </c>
      <c r="E9" s="211">
        <f t="shared" ref="E9:H9" si="1">E5/E8</f>
        <v>288760.78654209757</v>
      </c>
      <c r="F9" s="211">
        <f t="shared" si="1"/>
        <v>369627.72954025323</v>
      </c>
      <c r="G9" s="212">
        <f t="shared" si="1"/>
        <v>341922.58335755614</v>
      </c>
      <c r="H9" s="212">
        <f t="shared" si="1"/>
        <v>316780.26801557187</v>
      </c>
      <c r="I9" s="61"/>
      <c r="J9" s="61"/>
      <c r="K9" s="61"/>
      <c r="L9" s="61"/>
      <c r="M9" s="61"/>
      <c r="N9" s="61"/>
      <c r="O9" s="61"/>
      <c r="P9" s="61"/>
      <c r="Q9" s="61"/>
      <c r="R9" s="61"/>
      <c r="S9" s="61"/>
      <c r="T9" s="61"/>
    </row>
    <row r="10" spans="1:20" x14ac:dyDescent="0.2">
      <c r="A10" s="61"/>
      <c r="B10" s="234" t="s">
        <v>323</v>
      </c>
      <c r="C10" s="448"/>
      <c r="D10" s="202"/>
      <c r="E10" s="202"/>
      <c r="F10" s="202"/>
      <c r="G10" s="210"/>
      <c r="H10" s="210">
        <f>H5/(H6-H7)</f>
        <v>7035281.238973842</v>
      </c>
      <c r="I10" s="61"/>
      <c r="J10" s="61"/>
      <c r="K10" s="157">
        <f>(E22-D22)/D22</f>
        <v>4.9643929018924303E-2</v>
      </c>
      <c r="L10" s="157">
        <f t="shared" ref="L10:N10" si="2">(F22-E22)/E22</f>
        <v>7.1479528381640456E-2</v>
      </c>
      <c r="M10" s="157">
        <f t="shared" si="2"/>
        <v>3.1406823533713657E-2</v>
      </c>
      <c r="N10" s="157">
        <f t="shared" si="2"/>
        <v>3.3902127579018865E-2</v>
      </c>
      <c r="O10" s="61"/>
      <c r="P10" s="61"/>
      <c r="Q10" s="61"/>
      <c r="R10" s="61"/>
      <c r="S10" s="61"/>
      <c r="T10" s="61"/>
    </row>
    <row r="11" spans="1:20" x14ac:dyDescent="0.2">
      <c r="A11" s="61"/>
      <c r="B11" s="410" t="s">
        <v>324</v>
      </c>
      <c r="C11" s="501">
        <f>(D9+E9+F9+G9+H10)*1000</f>
        <v>8208301159.8078518</v>
      </c>
      <c r="D11" s="316"/>
      <c r="E11" s="316"/>
      <c r="F11" s="316"/>
      <c r="G11" s="317"/>
      <c r="H11" s="317"/>
      <c r="I11" s="61"/>
      <c r="J11" s="61"/>
      <c r="K11" s="61"/>
      <c r="L11" s="61"/>
      <c r="M11" s="61"/>
      <c r="N11" s="61"/>
      <c r="O11" s="61"/>
      <c r="P11" s="61"/>
      <c r="Q11" s="61"/>
      <c r="R11" s="61"/>
      <c r="S11" s="61"/>
      <c r="T11" s="61"/>
    </row>
    <row r="12" spans="1:20" x14ac:dyDescent="0.2">
      <c r="A12" s="61"/>
      <c r="B12" s="61"/>
      <c r="C12" s="61"/>
      <c r="D12" s="61"/>
      <c r="E12" s="61"/>
      <c r="F12" s="61"/>
      <c r="G12" s="61"/>
      <c r="H12" s="61"/>
      <c r="I12" s="61"/>
      <c r="J12" s="61"/>
      <c r="K12" s="61"/>
      <c r="L12" s="61"/>
      <c r="M12" s="61"/>
      <c r="N12" s="61"/>
      <c r="O12" s="61"/>
      <c r="P12" s="61"/>
      <c r="Q12" s="61"/>
      <c r="R12" s="61"/>
      <c r="S12" s="61"/>
      <c r="T12" s="61"/>
    </row>
    <row r="13" spans="1:20" x14ac:dyDescent="0.2">
      <c r="A13" s="61"/>
      <c r="B13" s="61"/>
      <c r="C13" s="61"/>
      <c r="D13" s="61"/>
      <c r="E13" s="61"/>
      <c r="F13" s="61"/>
      <c r="G13" s="61"/>
      <c r="H13" s="61"/>
      <c r="I13" s="61"/>
      <c r="J13" s="61"/>
      <c r="K13" s="61"/>
      <c r="L13" s="61"/>
      <c r="M13" s="61"/>
      <c r="N13" s="61"/>
      <c r="O13" s="61"/>
      <c r="P13" s="61"/>
      <c r="Q13" s="61"/>
      <c r="R13" s="61"/>
      <c r="S13" s="61"/>
      <c r="T13" s="61"/>
    </row>
    <row r="14" spans="1:20" x14ac:dyDescent="0.2">
      <c r="A14" s="61"/>
      <c r="B14" s="61"/>
      <c r="C14" s="202"/>
      <c r="D14" s="61"/>
      <c r="E14" s="61"/>
      <c r="F14" s="61"/>
      <c r="G14" s="61"/>
      <c r="H14" s="61"/>
      <c r="I14" s="61"/>
      <c r="J14" s="61"/>
      <c r="K14" s="61"/>
      <c r="L14" s="61"/>
      <c r="M14" s="61"/>
      <c r="N14" s="61"/>
      <c r="O14" s="61"/>
      <c r="P14" s="61"/>
      <c r="Q14" s="61"/>
      <c r="R14" s="61"/>
      <c r="S14" s="61"/>
      <c r="T14" s="61"/>
    </row>
    <row r="15" spans="1:20" x14ac:dyDescent="0.2">
      <c r="A15" s="61"/>
      <c r="B15" s="61"/>
      <c r="C15" s="202"/>
      <c r="D15" s="61"/>
      <c r="E15" s="61"/>
      <c r="F15" s="61"/>
      <c r="G15" s="61"/>
      <c r="H15" s="61"/>
      <c r="I15" s="61"/>
      <c r="J15" s="61"/>
      <c r="K15" s="61"/>
      <c r="L15" s="61"/>
      <c r="M15" s="61"/>
      <c r="N15" s="61"/>
      <c r="O15" s="61"/>
      <c r="P15" s="61"/>
      <c r="Q15" s="61"/>
      <c r="R15" s="61"/>
      <c r="S15" s="61"/>
      <c r="T15" s="61"/>
    </row>
    <row r="16" spans="1:20" x14ac:dyDescent="0.2">
      <c r="A16" s="61"/>
      <c r="B16" s="61"/>
      <c r="C16" s="509" t="s">
        <v>302</v>
      </c>
      <c r="D16" s="542" t="s">
        <v>297</v>
      </c>
      <c r="E16" s="542"/>
      <c r="F16" s="542"/>
      <c r="G16" s="542"/>
      <c r="H16" s="510" t="s">
        <v>296</v>
      </c>
      <c r="I16" s="61"/>
      <c r="J16" s="61"/>
      <c r="K16" s="61"/>
      <c r="L16" s="61"/>
      <c r="M16" s="61"/>
      <c r="N16" s="61"/>
      <c r="O16" s="61"/>
      <c r="P16" s="61"/>
      <c r="Q16" s="61"/>
      <c r="R16" s="61"/>
      <c r="S16" s="61"/>
      <c r="T16" s="61"/>
    </row>
    <row r="17" spans="1:20" x14ac:dyDescent="0.2">
      <c r="A17" s="61"/>
      <c r="B17" s="538" t="s">
        <v>342</v>
      </c>
      <c r="C17" s="507">
        <v>0</v>
      </c>
      <c r="D17" s="508">
        <v>1</v>
      </c>
      <c r="E17" s="498">
        <v>2</v>
      </c>
      <c r="F17" s="498">
        <v>3</v>
      </c>
      <c r="G17" s="498">
        <v>4</v>
      </c>
      <c r="H17" s="499">
        <v>5</v>
      </c>
      <c r="I17" s="61"/>
      <c r="J17" s="61"/>
      <c r="K17" s="61"/>
      <c r="L17" s="61"/>
      <c r="M17" s="61"/>
      <c r="N17" s="61"/>
      <c r="O17" s="61"/>
      <c r="P17" s="61"/>
      <c r="Q17" s="61"/>
      <c r="R17" s="61"/>
      <c r="S17" s="61"/>
      <c r="T17" s="61"/>
    </row>
    <row r="18" spans="1:20" x14ac:dyDescent="0.2">
      <c r="A18" s="61"/>
      <c r="B18" s="539"/>
      <c r="C18" s="475">
        <v>2020</v>
      </c>
      <c r="D18" s="475">
        <v>2021</v>
      </c>
      <c r="E18" s="460">
        <v>2022</v>
      </c>
      <c r="F18" s="460">
        <v>2023</v>
      </c>
      <c r="G18" s="460">
        <v>2024</v>
      </c>
      <c r="H18" s="461">
        <v>2025</v>
      </c>
      <c r="I18" s="61"/>
      <c r="J18" s="61"/>
      <c r="K18" s="61"/>
      <c r="L18" s="61"/>
      <c r="M18" s="61"/>
      <c r="N18" s="61"/>
      <c r="O18" s="61"/>
      <c r="P18" s="61"/>
      <c r="Q18" s="61"/>
      <c r="R18" s="61"/>
      <c r="S18" s="61"/>
      <c r="T18" s="61"/>
    </row>
    <row r="19" spans="1:20" x14ac:dyDescent="0.2">
      <c r="A19" s="61"/>
      <c r="B19" s="232" t="s">
        <v>244</v>
      </c>
      <c r="C19" s="401">
        <f>'F.cast Balanse'!G48</f>
        <v>2437815</v>
      </c>
      <c r="D19" s="401">
        <f>'F.cast Balanse'!H48</f>
        <v>2792300.0124000004</v>
      </c>
      <c r="E19" s="211">
        <f>'F.cast Balanse'!I48</f>
        <v>3033192.4136400009</v>
      </c>
      <c r="F19" s="211">
        <f>'F.cast Balanse'!J48</f>
        <v>3165683.2343220012</v>
      </c>
      <c r="G19" s="212">
        <f>'F.cast Balanse'!K48</f>
        <v>3304798.5960381008</v>
      </c>
      <c r="H19" s="212">
        <f>'F.cast Balanse'!L48</f>
        <v>3450869.7258400051</v>
      </c>
      <c r="I19" s="61"/>
      <c r="J19" s="61"/>
      <c r="K19" s="61"/>
      <c r="L19" s="61"/>
      <c r="M19" s="61"/>
      <c r="N19" s="61"/>
      <c r="O19" s="61"/>
      <c r="P19" s="61"/>
      <c r="Q19" s="61"/>
      <c r="R19" s="61"/>
      <c r="S19" s="61"/>
      <c r="T19" s="61"/>
    </row>
    <row r="20" spans="1:20" x14ac:dyDescent="0.2">
      <c r="A20" s="61"/>
      <c r="B20" s="234" t="s">
        <v>338</v>
      </c>
      <c r="C20" s="402">
        <f>'F.cast Resultat'!G37</f>
        <v>1523574</v>
      </c>
      <c r="D20" s="402">
        <f>'F.cast Resultat'!H37</f>
        <v>547746.18354000011</v>
      </c>
      <c r="E20" s="202">
        <f>'F.cast Resultat'!I37</f>
        <v>602467.39647734025</v>
      </c>
      <c r="F20" s="202">
        <f>'F.cast Resultat'!J37</f>
        <v>650401.42599726678</v>
      </c>
      <c r="G20" s="210">
        <f>'F.cast Resultat'!K37</f>
        <v>675218.23172032239</v>
      </c>
      <c r="H20" s="210">
        <f>'F.cast Resultat'!L37</f>
        <v>701858.3476808382</v>
      </c>
      <c r="I20" s="61"/>
      <c r="J20" s="61"/>
      <c r="K20" s="61"/>
      <c r="L20" s="61"/>
      <c r="M20" s="61"/>
      <c r="N20" s="61"/>
      <c r="O20" s="61"/>
      <c r="P20" s="61"/>
      <c r="Q20" s="61"/>
      <c r="R20" s="61"/>
      <c r="S20" s="61"/>
      <c r="T20" s="61"/>
    </row>
    <row r="21" spans="1:20" x14ac:dyDescent="0.2">
      <c r="A21" s="61"/>
      <c r="B21" s="232" t="s">
        <v>339</v>
      </c>
      <c r="C21" s="208">
        <f>Lønnsomhet!F23</f>
        <v>0.11791599999999997</v>
      </c>
      <c r="D21" s="232"/>
      <c r="E21" s="201"/>
      <c r="F21" s="201"/>
      <c r="G21" s="318"/>
      <c r="H21" s="318"/>
      <c r="I21" s="61"/>
      <c r="J21" s="61"/>
      <c r="K21" s="61"/>
      <c r="L21" s="61"/>
      <c r="M21" s="61"/>
      <c r="N21" s="61"/>
      <c r="O21" s="61"/>
      <c r="P21" s="61"/>
      <c r="Q21" s="61"/>
      <c r="R21" s="61"/>
      <c r="S21" s="61"/>
      <c r="T21" s="61"/>
    </row>
    <row r="22" spans="1:20" x14ac:dyDescent="0.2">
      <c r="A22" s="61"/>
      <c r="B22" s="234" t="s">
        <v>340</v>
      </c>
      <c r="C22" s="234"/>
      <c r="D22" s="402">
        <f>D20-($C$21*C19)</f>
        <v>260288.79000000021</v>
      </c>
      <c r="E22" s="202">
        <f>E20-($C$21*D19)</f>
        <v>273210.54821518192</v>
      </c>
      <c r="F22" s="202">
        <f>F20-($C$21*E19)</f>
        <v>292739.50935049256</v>
      </c>
      <c r="G22" s="210">
        <f>G20-($C$21*F19)</f>
        <v>301933.5274620094</v>
      </c>
      <c r="H22" s="210">
        <f>H20-($C$21*G19)</f>
        <v>312169.71643040964</v>
      </c>
      <c r="I22" s="61"/>
      <c r="J22" s="61"/>
      <c r="K22" s="61"/>
      <c r="L22" s="61"/>
      <c r="M22" s="61"/>
      <c r="N22" s="61"/>
      <c r="O22" s="61"/>
      <c r="P22" s="61"/>
      <c r="Q22" s="61"/>
      <c r="R22" s="61"/>
      <c r="S22" s="61"/>
      <c r="T22" s="61"/>
    </row>
    <row r="23" spans="1:20" x14ac:dyDescent="0.2">
      <c r="A23" s="61"/>
      <c r="B23" s="232" t="s">
        <v>341</v>
      </c>
      <c r="C23" s="232"/>
      <c r="D23" s="506">
        <f>(1+$C$21)^D17</f>
        <v>1.1179159999999999</v>
      </c>
      <c r="E23" s="393">
        <f>(1+$C$21)^E17</f>
        <v>1.2497361830559999</v>
      </c>
      <c r="F23" s="393">
        <f>(1+$C$21)^F17</f>
        <v>1.3971000748172311</v>
      </c>
      <c r="G23" s="394">
        <f>(1+$C$21)^G17</f>
        <v>1.5618405272393796</v>
      </c>
      <c r="H23" s="394">
        <f>(1+$C$21)^H17</f>
        <v>1.7460065148493382</v>
      </c>
      <c r="I23" s="61"/>
      <c r="J23" s="61"/>
      <c r="K23" s="61"/>
      <c r="L23" s="61"/>
      <c r="M23" s="61"/>
      <c r="N23" s="61"/>
      <c r="O23" s="61"/>
      <c r="P23" s="61"/>
      <c r="Q23" s="61"/>
      <c r="R23" s="61"/>
      <c r="S23" s="61"/>
      <c r="T23" s="61"/>
    </row>
    <row r="24" spans="1:20" x14ac:dyDescent="0.2">
      <c r="A24" s="61"/>
      <c r="B24" s="234" t="s">
        <v>321</v>
      </c>
      <c r="C24" s="234"/>
      <c r="D24" s="234"/>
      <c r="E24" s="61"/>
      <c r="F24" s="61"/>
      <c r="G24" s="284"/>
      <c r="H24" s="409">
        <v>0.04</v>
      </c>
      <c r="I24" s="61"/>
      <c r="J24" s="61"/>
      <c r="K24" s="61"/>
      <c r="L24" s="61"/>
      <c r="M24" s="61"/>
      <c r="N24" s="61"/>
      <c r="O24" s="61"/>
      <c r="P24" s="61"/>
      <c r="Q24" s="61"/>
      <c r="R24" s="61"/>
      <c r="S24" s="61"/>
      <c r="T24" s="61"/>
    </row>
    <row r="25" spans="1:20" x14ac:dyDescent="0.2">
      <c r="A25" s="61"/>
      <c r="B25" s="232" t="s">
        <v>327</v>
      </c>
      <c r="C25" s="232"/>
      <c r="D25" s="401">
        <f>D22/D23</f>
        <v>232833.94280071152</v>
      </c>
      <c r="E25" s="211">
        <f t="shared" ref="E25:H25" si="3">E22/E23</f>
        <v>218614.57795604173</v>
      </c>
      <c r="F25" s="211">
        <f t="shared" si="3"/>
        <v>209533.67237403433</v>
      </c>
      <c r="G25" s="212">
        <f t="shared" si="3"/>
        <v>193319.05031027074</v>
      </c>
      <c r="H25" s="212">
        <f t="shared" si="3"/>
        <v>178790.69394958505</v>
      </c>
      <c r="I25" s="61"/>
      <c r="J25" s="61"/>
      <c r="K25" s="61"/>
      <c r="L25" s="61"/>
      <c r="M25" s="61"/>
      <c r="N25" s="61"/>
      <c r="O25" s="61"/>
      <c r="P25" s="61"/>
      <c r="Q25" s="61"/>
      <c r="R25" s="61"/>
      <c r="S25" s="61"/>
      <c r="T25" s="61"/>
    </row>
    <row r="26" spans="1:20" x14ac:dyDescent="0.2">
      <c r="A26" s="61"/>
      <c r="B26" s="234" t="s">
        <v>328</v>
      </c>
      <c r="C26" s="234"/>
      <c r="D26" s="234"/>
      <c r="E26" s="61"/>
      <c r="F26" s="61"/>
      <c r="G26" s="284"/>
      <c r="H26" s="210">
        <f>H22/(C21-H24)</f>
        <v>4006490.5337852277</v>
      </c>
      <c r="I26" s="61"/>
      <c r="J26" s="61"/>
      <c r="K26" s="61"/>
      <c r="L26" s="61"/>
      <c r="M26" s="61"/>
      <c r="N26" s="61"/>
      <c r="O26" s="61"/>
      <c r="P26" s="61"/>
      <c r="Q26" s="61"/>
      <c r="R26" s="61"/>
      <c r="S26" s="61"/>
      <c r="T26" s="61"/>
    </row>
    <row r="27" spans="1:20" x14ac:dyDescent="0.2">
      <c r="A27" s="61"/>
      <c r="B27" s="410" t="s">
        <v>331</v>
      </c>
      <c r="C27" s="403">
        <f>(C19+D25+E25+F25+G25+H26+H25)*1000</f>
        <v>7477397471.1758709</v>
      </c>
      <c r="D27" s="279"/>
      <c r="E27" s="216"/>
      <c r="F27" s="216"/>
      <c r="G27" s="217"/>
      <c r="H27" s="217"/>
      <c r="I27" s="61"/>
      <c r="J27" s="61"/>
      <c r="K27" s="61"/>
      <c r="L27" s="61"/>
      <c r="M27" s="61"/>
      <c r="N27" s="61"/>
      <c r="O27" s="61"/>
      <c r="P27" s="61"/>
      <c r="Q27" s="61"/>
      <c r="R27" s="61"/>
      <c r="S27" s="61"/>
      <c r="T27" s="61"/>
    </row>
    <row r="28" spans="1:20" x14ac:dyDescent="0.2">
      <c r="A28" s="61"/>
      <c r="B28" s="61"/>
      <c r="C28" s="202"/>
      <c r="D28" s="61"/>
      <c r="E28" s="61"/>
      <c r="F28" s="61"/>
      <c r="G28" s="61"/>
      <c r="H28" s="61"/>
      <c r="I28" s="61"/>
      <c r="J28" s="61"/>
      <c r="K28" s="61"/>
      <c r="L28" s="61"/>
      <c r="M28" s="61"/>
      <c r="N28" s="61"/>
      <c r="O28" s="61"/>
      <c r="P28" s="61"/>
      <c r="Q28" s="61"/>
      <c r="R28" s="61"/>
      <c r="S28" s="61"/>
      <c r="T28" s="61"/>
    </row>
    <row r="29" spans="1:20" x14ac:dyDescent="0.2">
      <c r="A29" s="61"/>
      <c r="B29" s="511"/>
      <c r="C29" s="512" t="s">
        <v>346</v>
      </c>
      <c r="D29" s="513" t="s">
        <v>350</v>
      </c>
      <c r="E29" s="514" t="s">
        <v>332</v>
      </c>
      <c r="F29" s="61"/>
      <c r="G29" s="61"/>
      <c r="H29" s="61"/>
      <c r="I29" s="61"/>
      <c r="J29" s="234" t="s">
        <v>406</v>
      </c>
      <c r="K29" s="61"/>
      <c r="L29" s="391">
        <f>E32</f>
        <v>57.903743315508024</v>
      </c>
      <c r="M29" s="61"/>
      <c r="N29" s="61"/>
      <c r="O29" s="61"/>
      <c r="P29" s="61"/>
      <c r="Q29" s="61"/>
      <c r="R29" s="61"/>
      <c r="S29" s="61"/>
      <c r="T29" s="61"/>
    </row>
    <row r="30" spans="1:20" x14ac:dyDescent="0.2">
      <c r="A30" s="61"/>
      <c r="B30" s="234" t="s">
        <v>347</v>
      </c>
      <c r="C30" s="402">
        <f>C11</f>
        <v>8208301159.8078518</v>
      </c>
      <c r="D30" s="202">
        <f>93765688</f>
        <v>93765688</v>
      </c>
      <c r="E30" s="392">
        <f>C30/D30</f>
        <v>87.540563450116764</v>
      </c>
      <c r="F30" s="61"/>
      <c r="G30" s="61"/>
      <c r="H30" s="61"/>
      <c r="I30" s="61"/>
      <c r="J30" s="61" t="s">
        <v>348</v>
      </c>
      <c r="K30" s="61"/>
      <c r="L30" s="391">
        <f>L31-L29</f>
        <v>25.739319331159294</v>
      </c>
      <c r="M30" s="391"/>
      <c r="N30" s="61"/>
      <c r="O30" s="61"/>
      <c r="P30" s="61"/>
      <c r="Q30" s="61"/>
      <c r="R30" s="61"/>
      <c r="S30" s="61"/>
      <c r="T30" s="61"/>
    </row>
    <row r="31" spans="1:20" x14ac:dyDescent="0.2">
      <c r="A31" s="61"/>
      <c r="B31" s="232" t="s">
        <v>344</v>
      </c>
      <c r="C31" s="401">
        <f>C27</f>
        <v>7477397471.1758709</v>
      </c>
      <c r="D31" s="211">
        <f t="shared" ref="D31" si="4">93765688</f>
        <v>93765688</v>
      </c>
      <c r="E31" s="398">
        <f t="shared" ref="E31:E33" si="5">C31/D31</f>
        <v>79.745561843217857</v>
      </c>
      <c r="F31" s="61"/>
      <c r="G31" s="61"/>
      <c r="H31" s="61"/>
      <c r="I31" s="61"/>
      <c r="J31" s="236" t="s">
        <v>349</v>
      </c>
      <c r="K31" s="61"/>
      <c r="L31" s="391">
        <f>E33</f>
        <v>83.643062646667317</v>
      </c>
      <c r="M31" s="61"/>
      <c r="N31" s="61"/>
      <c r="O31" s="61"/>
      <c r="P31" s="61"/>
      <c r="Q31" s="61"/>
      <c r="R31" s="61"/>
      <c r="S31" s="61"/>
      <c r="T31" s="61"/>
    </row>
    <row r="32" spans="1:20" x14ac:dyDescent="0.2">
      <c r="A32" s="61"/>
      <c r="B32" s="234" t="s">
        <v>408</v>
      </c>
      <c r="C32" s="402">
        <v>5414000000</v>
      </c>
      <c r="D32" s="202">
        <f>93500000</f>
        <v>93500000</v>
      </c>
      <c r="E32" s="392">
        <f t="shared" si="5"/>
        <v>57.903743315508024</v>
      </c>
      <c r="F32" s="61"/>
      <c r="G32" s="61"/>
      <c r="H32" s="61"/>
      <c r="I32" s="61"/>
      <c r="J32" s="61"/>
      <c r="K32" s="61"/>
      <c r="L32" s="61"/>
      <c r="M32" s="61"/>
      <c r="N32" s="61"/>
      <c r="O32" s="61"/>
      <c r="P32" s="61"/>
      <c r="Q32" s="61"/>
      <c r="R32" s="61"/>
      <c r="S32" s="61"/>
      <c r="T32" s="61"/>
    </row>
    <row r="33" spans="1:20" x14ac:dyDescent="0.2">
      <c r="A33" s="61"/>
      <c r="B33" s="410" t="s">
        <v>345</v>
      </c>
      <c r="C33" s="403">
        <f>(C30+C31)/2</f>
        <v>7842849315.4918613</v>
      </c>
      <c r="D33" s="408">
        <f>93765688</f>
        <v>93765688</v>
      </c>
      <c r="E33" s="411">
        <f t="shared" si="5"/>
        <v>83.643062646667317</v>
      </c>
      <c r="F33" s="61"/>
      <c r="G33" s="61"/>
      <c r="H33" s="61"/>
      <c r="I33" s="61"/>
      <c r="J33" s="61"/>
      <c r="K33" s="61"/>
      <c r="L33" s="391"/>
      <c r="M33" s="61"/>
      <c r="N33" s="61"/>
      <c r="O33" s="61"/>
      <c r="P33" s="61"/>
      <c r="Q33" s="61"/>
      <c r="R33" s="61"/>
      <c r="S33" s="61"/>
      <c r="T33" s="61"/>
    </row>
    <row r="34" spans="1:20" x14ac:dyDescent="0.2">
      <c r="A34" s="61"/>
      <c r="B34" s="61"/>
      <c r="C34" s="202"/>
      <c r="D34" s="61"/>
      <c r="E34" s="61"/>
      <c r="F34" s="61"/>
      <c r="G34" s="61"/>
      <c r="H34" s="61"/>
      <c r="I34" s="61"/>
      <c r="J34" s="61"/>
      <c r="K34" s="61"/>
      <c r="L34" s="61"/>
      <c r="M34" s="61"/>
      <c r="N34" s="61"/>
      <c r="O34" s="61"/>
      <c r="P34" s="61"/>
      <c r="Q34" s="61"/>
      <c r="R34" s="61"/>
      <c r="S34" s="61"/>
      <c r="T34" s="61"/>
    </row>
    <row r="35" spans="1:20" x14ac:dyDescent="0.2">
      <c r="A35" s="61"/>
      <c r="B35" s="61"/>
      <c r="C35" s="202"/>
      <c r="D35" s="61"/>
      <c r="E35" s="61"/>
      <c r="F35" s="61"/>
      <c r="G35" s="61"/>
      <c r="H35" s="61"/>
      <c r="I35" s="61"/>
      <c r="J35" s="202"/>
      <c r="K35" s="61"/>
      <c r="L35" s="61"/>
      <c r="M35" s="61"/>
      <c r="N35" s="61"/>
      <c r="O35" s="61"/>
      <c r="P35" s="61"/>
      <c r="Q35" s="61"/>
      <c r="R35" s="61"/>
      <c r="S35" s="61"/>
      <c r="T35" s="61"/>
    </row>
    <row r="36" spans="1:20" x14ac:dyDescent="0.2">
      <c r="A36" s="61"/>
      <c r="B36" s="61"/>
      <c r="C36" s="61"/>
      <c r="D36" s="61"/>
      <c r="E36" s="61"/>
      <c r="F36" s="61"/>
      <c r="G36" s="61"/>
      <c r="H36" s="61"/>
      <c r="I36" s="61"/>
      <c r="K36" s="144">
        <f>(L31-L29)/L29</f>
        <v>0.4445190907763934</v>
      </c>
    </row>
    <row r="37" spans="1:20" x14ac:dyDescent="0.2">
      <c r="A37" s="61"/>
      <c r="B37" s="61"/>
      <c r="C37" s="61"/>
      <c r="D37" s="61"/>
      <c r="E37" s="61"/>
      <c r="F37" s="61"/>
      <c r="G37" s="61"/>
      <c r="H37" s="61"/>
      <c r="I37" s="61"/>
    </row>
    <row r="38" spans="1:20" x14ac:dyDescent="0.2">
      <c r="A38" s="61"/>
      <c r="D38" s="404"/>
      <c r="E38" s="405"/>
      <c r="F38" s="405"/>
      <c r="G38" s="405"/>
      <c r="H38" s="405"/>
      <c r="I38" s="61"/>
      <c r="J38" s="144">
        <f>(C33-C32)/C32</f>
        <v>0.4486238115057003</v>
      </c>
    </row>
    <row r="39" spans="1:20" x14ac:dyDescent="0.2">
      <c r="C39" s="541" t="s">
        <v>297</v>
      </c>
      <c r="D39" s="541"/>
      <c r="E39" s="541"/>
      <c r="F39" s="541"/>
      <c r="G39" s="541"/>
      <c r="H39" s="328" t="s">
        <v>296</v>
      </c>
      <c r="I39" s="144"/>
    </row>
    <row r="40" spans="1:20" x14ac:dyDescent="0.2">
      <c r="C40" s="334">
        <v>0</v>
      </c>
      <c r="D40" s="399">
        <v>1</v>
      </c>
      <c r="E40" s="399">
        <v>2</v>
      </c>
      <c r="F40" s="399">
        <v>3</v>
      </c>
      <c r="G40" s="399">
        <v>4</v>
      </c>
      <c r="H40" s="400">
        <v>5</v>
      </c>
      <c r="I40" s="144"/>
    </row>
    <row r="41" spans="1:20" x14ac:dyDescent="0.2">
      <c r="C41" s="358">
        <v>2020</v>
      </c>
      <c r="D41" s="358">
        <v>2021</v>
      </c>
      <c r="E41" s="358">
        <v>2022</v>
      </c>
      <c r="F41" s="358">
        <v>2023</v>
      </c>
      <c r="G41" s="358">
        <v>2024</v>
      </c>
      <c r="H41" s="359">
        <v>2025</v>
      </c>
      <c r="I41" s="144"/>
    </row>
    <row r="42" spans="1:20" x14ac:dyDescent="0.2">
      <c r="B42" t="s">
        <v>286</v>
      </c>
      <c r="C42" s="211"/>
      <c r="D42" s="211">
        <f>'F.cast FCF'!G9</f>
        <v>188781.64493000042</v>
      </c>
      <c r="E42" s="211">
        <f>'F.cast FCF'!H9</f>
        <v>219115.60958263883</v>
      </c>
      <c r="F42" s="211">
        <f>'F.cast FCF'!I9</f>
        <v>448544.21068746957</v>
      </c>
      <c r="G42" s="211">
        <f>'F.cast FCF'!J9</f>
        <v>463181.39162956574</v>
      </c>
      <c r="H42" s="211">
        <f>'F.cast FCF'!K9</f>
        <v>479127.37412593164</v>
      </c>
      <c r="I42" s="144"/>
    </row>
    <row r="43" spans="1:20" x14ac:dyDescent="0.2">
      <c r="B43" t="s">
        <v>196</v>
      </c>
      <c r="D43" s="144">
        <v>0.09</v>
      </c>
      <c r="E43" s="144">
        <v>0.09</v>
      </c>
      <c r="F43" s="144">
        <v>0.09</v>
      </c>
      <c r="G43" s="144">
        <v>0.09</v>
      </c>
      <c r="H43" s="144">
        <v>0.09</v>
      </c>
    </row>
    <row r="44" spans="1:20" x14ac:dyDescent="0.2">
      <c r="B44" t="s">
        <v>321</v>
      </c>
      <c r="C44" s="201"/>
      <c r="D44" s="291"/>
      <c r="E44" s="291"/>
      <c r="F44" s="291"/>
      <c r="G44" s="291"/>
      <c r="H44" s="291">
        <v>0.05</v>
      </c>
    </row>
    <row r="45" spans="1:20" x14ac:dyDescent="0.2">
      <c r="B45" t="s">
        <v>326</v>
      </c>
      <c r="D45">
        <f>(1+D43)^D40</f>
        <v>1.0900000000000001</v>
      </c>
      <c r="E45">
        <f t="shared" ref="E45:H45" si="6">(1+E43)^E40</f>
        <v>1.1881000000000002</v>
      </c>
      <c r="F45">
        <f t="shared" si="6"/>
        <v>1.2950290000000002</v>
      </c>
      <c r="G45">
        <f t="shared" si="6"/>
        <v>1.4115816100000003</v>
      </c>
      <c r="H45">
        <f t="shared" si="6"/>
        <v>1.5386239549000005</v>
      </c>
    </row>
    <row r="46" spans="1:20" x14ac:dyDescent="0.2">
      <c r="B46" t="s">
        <v>327</v>
      </c>
      <c r="C46" s="211"/>
      <c r="D46" s="211">
        <f>D42/D45</f>
        <v>173194.16966055083</v>
      </c>
      <c r="E46" s="211">
        <f t="shared" ref="E46:H46" si="7">E42/E45</f>
        <v>184425.22479811363</v>
      </c>
      <c r="F46" s="211">
        <f t="shared" si="7"/>
        <v>346358.4295698934</v>
      </c>
      <c r="G46" s="211">
        <f t="shared" si="7"/>
        <v>328129.37512664654</v>
      </c>
      <c r="H46" s="211">
        <f t="shared" si="7"/>
        <v>311399.91847915266</v>
      </c>
    </row>
    <row r="47" spans="1:20" x14ac:dyDescent="0.2">
      <c r="B47" t="s">
        <v>328</v>
      </c>
      <c r="H47" s="146">
        <f>H42/(H43-H44)</f>
        <v>11978184.353148293</v>
      </c>
    </row>
    <row r="48" spans="1:20" x14ac:dyDescent="0.2">
      <c r="B48" t="s">
        <v>331</v>
      </c>
      <c r="C48" s="407">
        <f>(D46+E46+F46+G46+H46+H47)*1000</f>
        <v>13321691470.78265</v>
      </c>
      <c r="D48" s="211"/>
      <c r="E48" s="211"/>
      <c r="F48" s="211"/>
      <c r="G48" s="211"/>
      <c r="H48" s="211"/>
    </row>
    <row r="49" spans="2:8" x14ac:dyDescent="0.2">
      <c r="B49" t="s">
        <v>185</v>
      </c>
      <c r="C49" s="146">
        <f>'F.cast Balanse'!G57*1000</f>
        <v>1584125000</v>
      </c>
    </row>
    <row r="50" spans="2:8" x14ac:dyDescent="0.2">
      <c r="C50" s="146">
        <f>C48+C49</f>
        <v>14905816470.78265</v>
      </c>
    </row>
    <row r="51" spans="2:8" x14ac:dyDescent="0.2">
      <c r="B51" t="s">
        <v>330</v>
      </c>
      <c r="C51" s="146">
        <v>93765688</v>
      </c>
    </row>
    <row r="52" spans="2:8" x14ac:dyDescent="0.2">
      <c r="B52" t="s">
        <v>332</v>
      </c>
      <c r="C52" s="406">
        <f>C50/C51</f>
        <v>158.96877406565449</v>
      </c>
    </row>
    <row r="54" spans="2:8" x14ac:dyDescent="0.2">
      <c r="B54" t="s">
        <v>337</v>
      </c>
      <c r="C54">
        <v>0</v>
      </c>
      <c r="D54">
        <v>1</v>
      </c>
      <c r="E54">
        <v>2</v>
      </c>
      <c r="F54">
        <v>3</v>
      </c>
      <c r="G54">
        <v>4</v>
      </c>
      <c r="H54">
        <v>5</v>
      </c>
    </row>
    <row r="55" spans="2:8" x14ac:dyDescent="0.2">
      <c r="B55" t="s">
        <v>184</v>
      </c>
      <c r="C55" s="146">
        <f>'F.cast Balanse'!G41</f>
        <v>4021940</v>
      </c>
      <c r="D55" s="146">
        <f>'F.cast Balanse'!H41</f>
        <v>4398249.3540000003</v>
      </c>
      <c r="E55" s="146">
        <f>'F.cast Balanse'!I41</f>
        <v>4799736.6894000014</v>
      </c>
      <c r="F55" s="146">
        <f>'F.cast Balanse'!J41</f>
        <v>5020554.7238700017</v>
      </c>
      <c r="G55" s="146">
        <f>'F.cast Balanse'!K41</f>
        <v>5252413.6600635014</v>
      </c>
      <c r="H55" s="146">
        <f>'F.cast Balanse'!L41</f>
        <v>5495865.5430666758</v>
      </c>
    </row>
    <row r="56" spans="2:8" x14ac:dyDescent="0.2">
      <c r="B56" t="s">
        <v>126</v>
      </c>
      <c r="C56" s="146"/>
      <c r="D56" s="146">
        <f>'F.cast FCF'!G5</f>
        <v>565090.99893000023</v>
      </c>
      <c r="E56" s="146">
        <f>'F.cast FCF'!H5</f>
        <v>620602.94498264033</v>
      </c>
      <c r="F56" s="146">
        <f>'F.cast FCF'!I5</f>
        <v>669362.24515746976</v>
      </c>
      <c r="G56" s="146">
        <f>'F.cast FCF'!J5</f>
        <v>695040.32782306522</v>
      </c>
      <c r="H56" s="146">
        <f>'F.cast FCF'!K5</f>
        <v>722579.25712910644</v>
      </c>
    </row>
    <row r="57" spans="2:8" x14ac:dyDescent="0.2">
      <c r="B57" t="s">
        <v>196</v>
      </c>
      <c r="C57" s="152">
        <f>Lønnsomhet!G44</f>
        <v>9.2286237242118388E-2</v>
      </c>
    </row>
    <row r="58" spans="2:8" x14ac:dyDescent="0.2">
      <c r="B58" t="s">
        <v>335</v>
      </c>
      <c r="D58">
        <f>(1+$C$57)^D54</f>
        <v>1.0922862372421185</v>
      </c>
      <c r="E58">
        <f t="shared" ref="E58:H58" si="8">(1+$C$57)^E54</f>
        <v>1.1930892240685456</v>
      </c>
      <c r="F58">
        <f t="shared" si="8"/>
        <v>1.3031949392519504</v>
      </c>
      <c r="G58">
        <f t="shared" si="8"/>
        <v>1.4234618965884842</v>
      </c>
      <c r="H58">
        <f t="shared" si="8"/>
        <v>1.554827838882165</v>
      </c>
    </row>
    <row r="59" spans="2:8" x14ac:dyDescent="0.2">
      <c r="B59" t="s">
        <v>225</v>
      </c>
      <c r="D59" s="146">
        <f>D56-($C$57*C55)</f>
        <v>193921.28991643462</v>
      </c>
      <c r="E59" s="146">
        <f t="shared" ref="E59:H59" si="9">E56-($C$57*D55)</f>
        <v>214705.06164940237</v>
      </c>
      <c r="F59" s="146">
        <f t="shared" si="9"/>
        <v>226412.60633980134</v>
      </c>
      <c r="G59" s="146">
        <f t="shared" si="9"/>
        <v>231712.22348896007</v>
      </c>
      <c r="H59" s="146">
        <f t="shared" si="9"/>
        <v>237853.76400274277</v>
      </c>
    </row>
    <row r="60" spans="2:8" x14ac:dyDescent="0.2">
      <c r="B60" t="s">
        <v>333</v>
      </c>
      <c r="H60" s="231">
        <v>0.05</v>
      </c>
    </row>
    <row r="61" spans="2:8" x14ac:dyDescent="0.2">
      <c r="B61" t="s">
        <v>334</v>
      </c>
      <c r="D61" s="146">
        <f>D59/D58</f>
        <v>177537.06245174416</v>
      </c>
      <c r="E61" s="146">
        <f t="shared" ref="E61:H61" si="10">E59/E58</f>
        <v>179957.25492955011</v>
      </c>
      <c r="F61" s="146">
        <f t="shared" si="10"/>
        <v>173736.56044871145</v>
      </c>
      <c r="G61" s="146">
        <f t="shared" si="10"/>
        <v>162780.76992737863</v>
      </c>
      <c r="H61" s="146">
        <f t="shared" si="10"/>
        <v>152977.55677808446</v>
      </c>
    </row>
    <row r="62" spans="2:8" x14ac:dyDescent="0.2">
      <c r="B62" t="s">
        <v>328</v>
      </c>
      <c r="D62" s="146"/>
      <c r="E62" s="146"/>
      <c r="F62" s="146"/>
      <c r="G62" s="146"/>
      <c r="H62" s="146">
        <f>H59/(C57-H60)</f>
        <v>5624850.5309390156</v>
      </c>
    </row>
    <row r="63" spans="2:8" x14ac:dyDescent="0.2">
      <c r="B63" s="9" t="s">
        <v>331</v>
      </c>
      <c r="C63" s="153">
        <f>(C55+D61+E61+F61+G61+H62)*1000</f>
        <v>10340802178.696402</v>
      </c>
      <c r="D63" s="146"/>
      <c r="E63" s="146"/>
      <c r="F63" s="146"/>
      <c r="G63" s="146"/>
    </row>
    <row r="64" spans="2:8" x14ac:dyDescent="0.2">
      <c r="B64" t="s">
        <v>336</v>
      </c>
      <c r="C64" s="146">
        <f>'F.cast Balanse'!G57*1000</f>
        <v>1584125000</v>
      </c>
      <c r="D64" s="146"/>
      <c r="E64" s="146"/>
      <c r="F64" s="146"/>
      <c r="G64" s="146"/>
    </row>
    <row r="65" spans="2:3" x14ac:dyDescent="0.2">
      <c r="B65" s="9" t="s">
        <v>197</v>
      </c>
      <c r="C65" s="153">
        <f>C63+C64</f>
        <v>11924927178.696402</v>
      </c>
    </row>
    <row r="66" spans="2:3" x14ac:dyDescent="0.2">
      <c r="B66" t="s">
        <v>330</v>
      </c>
      <c r="C66" s="146">
        <v>93765688</v>
      </c>
    </row>
    <row r="67" spans="2:3" x14ac:dyDescent="0.2">
      <c r="B67" s="9" t="s">
        <v>332</v>
      </c>
      <c r="C67" s="241">
        <f>C65/C51</f>
        <v>127.17794145227624</v>
      </c>
    </row>
    <row r="81" spans="3:8" x14ac:dyDescent="0.2">
      <c r="C81" s="146">
        <f>C66</f>
        <v>93765688</v>
      </c>
    </row>
    <row r="82" spans="3:8" x14ac:dyDescent="0.2">
      <c r="C82">
        <f>C27/C81</f>
        <v>79.745561843217857</v>
      </c>
    </row>
    <row r="83" spans="3:8" x14ac:dyDescent="0.2">
      <c r="D83" s="146"/>
      <c r="E83" s="146"/>
      <c r="F83" s="146"/>
      <c r="G83" s="146"/>
      <c r="H83" s="146"/>
    </row>
  </sheetData>
  <mergeCells count="5">
    <mergeCell ref="B17:B18"/>
    <mergeCell ref="D2:G2"/>
    <mergeCell ref="C39:G39"/>
    <mergeCell ref="B3:B4"/>
    <mergeCell ref="D16:G1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AB0A2-A585-DF4B-8F08-4C962BA84C78}">
  <dimension ref="A1:V37"/>
  <sheetViews>
    <sheetView topLeftCell="A13" zoomScale="158" zoomScaleNormal="120" workbookViewId="0">
      <selection activeCell="H33" sqref="H33"/>
    </sheetView>
  </sheetViews>
  <sheetFormatPr baseColWidth="10" defaultRowHeight="16" x14ac:dyDescent="0.2"/>
  <cols>
    <col min="1" max="1" width="3.83203125" customWidth="1"/>
    <col min="2" max="2" width="50.6640625" customWidth="1"/>
    <col min="3" max="11" width="10.33203125" bestFit="1" customWidth="1"/>
    <col min="12" max="12" width="12.6640625" bestFit="1" customWidth="1"/>
    <col min="13" max="13" width="48.83203125" bestFit="1" customWidth="1"/>
  </cols>
  <sheetData>
    <row r="1" spans="1:22" x14ac:dyDescent="0.2">
      <c r="B1" s="61"/>
      <c r="C1" s="61"/>
      <c r="D1" s="61"/>
      <c r="E1" s="61"/>
      <c r="F1" s="61"/>
      <c r="G1" s="61"/>
      <c r="H1" s="61"/>
      <c r="I1" s="61"/>
      <c r="J1" s="61"/>
      <c r="K1" s="61"/>
      <c r="L1" s="61"/>
    </row>
    <row r="2" spans="1:22" x14ac:dyDescent="0.2">
      <c r="A2" s="61"/>
      <c r="B2" s="61"/>
      <c r="C2" s="537" t="s">
        <v>302</v>
      </c>
      <c r="D2" s="537"/>
      <c r="E2" s="537"/>
      <c r="F2" s="537"/>
      <c r="G2" s="537" t="s">
        <v>297</v>
      </c>
      <c r="H2" s="537"/>
      <c r="I2" s="537"/>
      <c r="J2" s="537"/>
      <c r="K2" s="455" t="s">
        <v>296</v>
      </c>
      <c r="L2" s="61"/>
    </row>
    <row r="3" spans="1:22" x14ac:dyDescent="0.2">
      <c r="A3" s="61"/>
      <c r="B3" s="535" t="s">
        <v>390</v>
      </c>
      <c r="C3" s="203">
        <v>-3</v>
      </c>
      <c r="D3" s="204">
        <v>-2</v>
      </c>
      <c r="E3" s="204">
        <v>-1</v>
      </c>
      <c r="F3" s="472">
        <v>0</v>
      </c>
      <c r="G3" s="204">
        <v>1</v>
      </c>
      <c r="H3" s="204">
        <v>2</v>
      </c>
      <c r="I3" s="204">
        <v>3</v>
      </c>
      <c r="J3" s="205">
        <v>4</v>
      </c>
      <c r="K3" s="205">
        <v>5</v>
      </c>
      <c r="L3" s="61"/>
      <c r="N3" s="543"/>
      <c r="O3" s="326"/>
      <c r="P3" s="327"/>
      <c r="Q3" s="353"/>
      <c r="R3" s="327"/>
      <c r="S3" s="327"/>
      <c r="T3" s="327"/>
      <c r="U3" s="327"/>
      <c r="V3" s="353"/>
    </row>
    <row r="4" spans="1:22" x14ac:dyDescent="0.2">
      <c r="A4" s="61"/>
      <c r="B4" s="536"/>
      <c r="C4" s="468" t="s">
        <v>166</v>
      </c>
      <c r="D4" s="469" t="s">
        <v>167</v>
      </c>
      <c r="E4" s="469">
        <v>2019</v>
      </c>
      <c r="F4" s="473" t="s">
        <v>268</v>
      </c>
      <c r="G4" s="470">
        <v>2021</v>
      </c>
      <c r="H4" s="470">
        <v>2022</v>
      </c>
      <c r="I4" s="470">
        <v>2023</v>
      </c>
      <c r="J4" s="471">
        <v>2024</v>
      </c>
      <c r="K4" s="471">
        <v>2025</v>
      </c>
      <c r="L4" s="61"/>
      <c r="N4" s="544"/>
      <c r="O4" s="346"/>
      <c r="P4" s="340"/>
      <c r="Q4" s="347"/>
      <c r="R4" s="341"/>
      <c r="S4" s="341"/>
      <c r="T4" s="341"/>
      <c r="U4" s="341"/>
      <c r="V4" s="342"/>
    </row>
    <row r="5" spans="1:22" x14ac:dyDescent="0.2">
      <c r="A5" s="61"/>
      <c r="B5" s="234" t="s">
        <v>298</v>
      </c>
      <c r="C5" s="385">
        <f>(D18-C18)/C18</f>
        <v>8.2448291122400194E-2</v>
      </c>
      <c r="D5" s="386">
        <f t="shared" ref="D5:E5" si="0">(E18-D18)/D18</f>
        <v>3.2373346072500774E-2</v>
      </c>
      <c r="E5" s="387">
        <f t="shared" si="0"/>
        <v>4.5830075240894811E-3</v>
      </c>
      <c r="F5" s="476">
        <f>(G18-E18)/E18</f>
        <v>-0.1908945816456287</v>
      </c>
      <c r="G5" s="388">
        <v>0.2</v>
      </c>
      <c r="H5" s="389">
        <v>0.1</v>
      </c>
      <c r="I5" s="390">
        <v>0.05</v>
      </c>
      <c r="J5" s="474">
        <v>0.05</v>
      </c>
      <c r="K5" s="474">
        <v>0.05</v>
      </c>
      <c r="L5" s="61"/>
      <c r="M5" t="s">
        <v>301</v>
      </c>
    </row>
    <row r="6" spans="1:22" x14ac:dyDescent="0.2">
      <c r="A6" s="61"/>
      <c r="B6" s="232" t="s">
        <v>314</v>
      </c>
      <c r="C6" s="463">
        <f>-D21/D20</f>
        <v>0.75346688833609177</v>
      </c>
      <c r="D6" s="292">
        <f t="shared" ref="D6" si="1">-E21/E20</f>
        <v>0.72458966360719013</v>
      </c>
      <c r="E6" s="292">
        <f>-F21/F20</f>
        <v>0.67663835423371499</v>
      </c>
      <c r="F6" s="293">
        <f>-G21/G20</f>
        <v>0.72928890453863116</v>
      </c>
      <c r="G6" s="292">
        <v>0.73</v>
      </c>
      <c r="H6" s="292">
        <v>0.73</v>
      </c>
      <c r="I6" s="292">
        <v>0.73</v>
      </c>
      <c r="J6" s="293">
        <v>0.73</v>
      </c>
      <c r="K6" s="293">
        <v>0.73</v>
      </c>
      <c r="L6" s="61"/>
    </row>
    <row r="7" spans="1:22" x14ac:dyDescent="0.2">
      <c r="A7" s="61"/>
      <c r="B7" s="234" t="s">
        <v>315</v>
      </c>
      <c r="C7" s="281">
        <f>-D23/D20</f>
        <v>3.7274779239056102E-2</v>
      </c>
      <c r="D7" s="190">
        <f t="shared" ref="D7" si="2">-E23/E20</f>
        <v>4.2637582938743146E-2</v>
      </c>
      <c r="E7" s="190">
        <f>-F23/F20</f>
        <v>3.9245876471353032E-2</v>
      </c>
      <c r="F7" s="282">
        <f>-G23/G20</f>
        <v>5.5541800255749736E-2</v>
      </c>
      <c r="G7" s="213">
        <v>0.05</v>
      </c>
      <c r="H7" s="213">
        <v>0.05</v>
      </c>
      <c r="I7" s="213">
        <v>0.05</v>
      </c>
      <c r="J7" s="214">
        <v>0.05</v>
      </c>
      <c r="K7" s="214">
        <v>0.05</v>
      </c>
      <c r="L7" s="61"/>
    </row>
    <row r="8" spans="1:22" x14ac:dyDescent="0.2">
      <c r="A8" s="61"/>
      <c r="B8" s="232" t="s">
        <v>316</v>
      </c>
      <c r="C8" s="464">
        <f>-D24/D20</f>
        <v>3.5403824045351383E-2</v>
      </c>
      <c r="D8" s="179">
        <f t="shared" ref="D8" si="3">-E24/E20</f>
        <v>3.7567379547137632E-2</v>
      </c>
      <c r="E8" s="179">
        <f>-F24/F20</f>
        <v>4.2124020211123242E-2</v>
      </c>
      <c r="F8" s="322">
        <f>-G24/G20</f>
        <v>3.965788839674568E-2</v>
      </c>
      <c r="G8" s="292">
        <v>0.04</v>
      </c>
      <c r="H8" s="292">
        <v>0.04</v>
      </c>
      <c r="I8" s="292">
        <v>0.04</v>
      </c>
      <c r="J8" s="293">
        <v>0.04</v>
      </c>
      <c r="K8" s="293">
        <v>0.04</v>
      </c>
      <c r="L8" s="61"/>
    </row>
    <row r="9" spans="1:22" x14ac:dyDescent="0.2">
      <c r="A9" s="61"/>
      <c r="B9" s="234" t="s">
        <v>317</v>
      </c>
      <c r="C9" s="281">
        <f>D25/D20</f>
        <v>-4.2151465297668011E-3</v>
      </c>
      <c r="D9" s="190">
        <f t="shared" ref="D9" si="4">E25/E20</f>
        <v>3.0458921478422836E-2</v>
      </c>
      <c r="E9" s="190">
        <f>F25/F20</f>
        <v>1.8470463702914774E-2</v>
      </c>
      <c r="F9" s="282">
        <f>G25/G20</f>
        <v>5.0023536388739596E-2</v>
      </c>
      <c r="G9" s="360">
        <v>2.5000000000000001E-2</v>
      </c>
      <c r="H9" s="360">
        <v>2.5000000000000001E-2</v>
      </c>
      <c r="I9" s="360">
        <v>2.5000000000000001E-2</v>
      </c>
      <c r="J9" s="361">
        <v>2.5000000000000001E-2</v>
      </c>
      <c r="K9" s="361">
        <v>2.5000000000000001E-2</v>
      </c>
      <c r="L9" s="61"/>
    </row>
    <row r="10" spans="1:22" x14ac:dyDescent="0.2">
      <c r="A10" s="61"/>
      <c r="B10" s="232" t="s">
        <v>318</v>
      </c>
      <c r="C10" s="464">
        <f>D27/Balanseny!D11</f>
        <v>-3.8967011619497247E-3</v>
      </c>
      <c r="D10" s="179">
        <f>E27/Balanseny!E11</f>
        <v>-2.9594797957823221E-3</v>
      </c>
      <c r="E10" s="179">
        <f>F27/Balanseny!F11</f>
        <v>-1.1592884944163544E-2</v>
      </c>
      <c r="F10" s="322">
        <f>G27/Balanseny!G11</f>
        <v>-9.5566427539354615E-3</v>
      </c>
      <c r="G10" s="465">
        <v>-6.0000000000000001E-3</v>
      </c>
      <c r="H10" s="465">
        <v>-6.0000000000000001E-3</v>
      </c>
      <c r="I10" s="465">
        <v>-6.0000000000000001E-3</v>
      </c>
      <c r="J10" s="466">
        <v>-6.0000000000000001E-3</v>
      </c>
      <c r="K10" s="466">
        <v>-6.0000000000000001E-3</v>
      </c>
      <c r="L10" s="61"/>
    </row>
    <row r="11" spans="1:22" x14ac:dyDescent="0.2">
      <c r="A11" s="61"/>
      <c r="B11" s="234" t="s">
        <v>299</v>
      </c>
      <c r="C11" s="362">
        <v>0.22</v>
      </c>
      <c r="D11" s="213">
        <v>0.22</v>
      </c>
      <c r="E11" s="213">
        <v>0.22</v>
      </c>
      <c r="F11" s="214">
        <v>0.22</v>
      </c>
      <c r="G11" s="213">
        <v>0.22</v>
      </c>
      <c r="H11" s="213">
        <v>0.22</v>
      </c>
      <c r="I11" s="213">
        <v>0.22</v>
      </c>
      <c r="J11" s="214">
        <v>0.22</v>
      </c>
      <c r="K11" s="214">
        <v>0.22</v>
      </c>
      <c r="L11" s="61"/>
    </row>
    <row r="12" spans="1:22" x14ac:dyDescent="0.2">
      <c r="A12" s="61"/>
      <c r="B12" s="232" t="s">
        <v>319</v>
      </c>
      <c r="C12" s="464">
        <f>D33/Balanseny!K101</f>
        <v>7.3586749421216463E-3</v>
      </c>
      <c r="D12" s="179">
        <f>E33/Balanseny!L101</f>
        <v>6.1576970610690016E-3</v>
      </c>
      <c r="E12" s="179">
        <f>F33/Balanseny!M101</f>
        <v>6.2114382176711745E-2</v>
      </c>
      <c r="F12" s="322">
        <f>G33/Balanseny!N101</f>
        <v>1.3454115047739289E-2</v>
      </c>
      <c r="G12" s="467">
        <v>0.03</v>
      </c>
      <c r="H12" s="292">
        <v>0.03</v>
      </c>
      <c r="I12" s="292">
        <v>0.03</v>
      </c>
      <c r="J12" s="293">
        <v>0.03</v>
      </c>
      <c r="K12" s="293">
        <v>0.03</v>
      </c>
      <c r="L12" s="61"/>
      <c r="M12" t="s">
        <v>300</v>
      </c>
    </row>
    <row r="13" spans="1:22" x14ac:dyDescent="0.2">
      <c r="A13" s="61"/>
      <c r="B13" s="236" t="s">
        <v>320</v>
      </c>
      <c r="C13" s="363">
        <f>D35/Balanseny!K101</f>
        <v>-3.0360522547305563E-2</v>
      </c>
      <c r="D13" s="277">
        <f>E35/Balanseny!L101</f>
        <v>-1.701004309002024E-2</v>
      </c>
      <c r="E13" s="277">
        <f>F35/Balanseny!M101</f>
        <v>-0.1019533641271078</v>
      </c>
      <c r="F13" s="278">
        <f>G35/Balanseny!N101</f>
        <v>-7.3529551013966701E-3</v>
      </c>
      <c r="G13" s="364">
        <v>0.04</v>
      </c>
      <c r="H13" s="364">
        <v>0.04</v>
      </c>
      <c r="I13" s="364">
        <v>0.04</v>
      </c>
      <c r="J13" s="365">
        <v>0.04</v>
      </c>
      <c r="K13" s="365">
        <v>0.04</v>
      </c>
      <c r="L13" s="61"/>
      <c r="M13" t="s">
        <v>300</v>
      </c>
    </row>
    <row r="14" spans="1:22" x14ac:dyDescent="0.2">
      <c r="A14" s="61"/>
      <c r="B14" s="61"/>
      <c r="C14" s="61"/>
      <c r="D14" s="157"/>
      <c r="E14" s="157"/>
      <c r="F14" s="157"/>
      <c r="G14" s="61"/>
      <c r="H14" s="61"/>
      <c r="I14" s="61"/>
      <c r="J14" s="61"/>
      <c r="K14" s="61"/>
      <c r="L14" s="61"/>
    </row>
    <row r="16" spans="1:22" x14ac:dyDescent="0.2">
      <c r="B16" s="543" t="s">
        <v>212</v>
      </c>
      <c r="C16" s="545" t="s">
        <v>302</v>
      </c>
      <c r="D16" s="546"/>
      <c r="E16" s="546"/>
      <c r="F16" s="546"/>
      <c r="G16" s="546"/>
      <c r="H16" s="545" t="s">
        <v>297</v>
      </c>
      <c r="I16" s="546"/>
      <c r="J16" s="546"/>
      <c r="K16" s="546"/>
      <c r="L16" s="329" t="s">
        <v>296</v>
      </c>
    </row>
    <row r="17" spans="2:13" x14ac:dyDescent="0.2">
      <c r="B17" s="544"/>
      <c r="C17" s="346" t="s">
        <v>168</v>
      </c>
      <c r="D17" s="340" t="s">
        <v>166</v>
      </c>
      <c r="E17" s="340" t="s">
        <v>167</v>
      </c>
      <c r="F17" s="340">
        <v>2019</v>
      </c>
      <c r="G17" s="347" t="s">
        <v>268</v>
      </c>
      <c r="H17" s="343">
        <v>2021</v>
      </c>
      <c r="I17" s="341">
        <v>2022</v>
      </c>
      <c r="J17" s="341">
        <v>2023</v>
      </c>
      <c r="K17" s="341">
        <v>2024</v>
      </c>
      <c r="L17" s="342">
        <v>2025</v>
      </c>
    </row>
    <row r="18" spans="2:13" x14ac:dyDescent="0.2">
      <c r="B18" s="248" t="s">
        <v>117</v>
      </c>
      <c r="C18" s="242">
        <v>2923966</v>
      </c>
      <c r="D18" s="48">
        <v>3165042</v>
      </c>
      <c r="E18" s="48">
        <v>3267505</v>
      </c>
      <c r="F18" s="48">
        <v>3282480</v>
      </c>
      <c r="G18" s="335">
        <v>2643756</v>
      </c>
      <c r="H18" s="242"/>
      <c r="I18" s="48"/>
      <c r="J18" s="48"/>
      <c r="K18" s="48"/>
      <c r="L18" s="335"/>
    </row>
    <row r="19" spans="2:13" x14ac:dyDescent="0.2">
      <c r="B19" s="248" t="s">
        <v>118</v>
      </c>
      <c r="C19" s="242">
        <v>76381</v>
      </c>
      <c r="D19" s="48">
        <v>63790</v>
      </c>
      <c r="E19" s="48">
        <v>74570</v>
      </c>
      <c r="F19" s="48">
        <v>86358</v>
      </c>
      <c r="G19" s="335">
        <v>54194</v>
      </c>
      <c r="H19" s="242"/>
      <c r="I19" s="48"/>
      <c r="J19" s="48"/>
      <c r="K19" s="48"/>
      <c r="L19" s="335"/>
    </row>
    <row r="20" spans="2:13" x14ac:dyDescent="0.2">
      <c r="B20" s="263" t="s">
        <v>224</v>
      </c>
      <c r="C20" s="348">
        <f>SUM(C18:C19)</f>
        <v>3000347</v>
      </c>
      <c r="D20" s="333">
        <f>SUM(D18:D19)</f>
        <v>3228832</v>
      </c>
      <c r="E20" s="333">
        <f>SUM(E18:E19)</f>
        <v>3342075</v>
      </c>
      <c r="F20" s="332">
        <f>SUM(F18:F19)</f>
        <v>3368838</v>
      </c>
      <c r="G20" s="349">
        <f>SUM(G18:G19)</f>
        <v>2697950</v>
      </c>
      <c r="H20" s="344">
        <f>G20*(1+G5)</f>
        <v>3237540</v>
      </c>
      <c r="I20" s="287">
        <f>H20*(1+H5)</f>
        <v>3561294.0000000005</v>
      </c>
      <c r="J20" s="287">
        <f>I20*(1+I5)</f>
        <v>3739358.7000000007</v>
      </c>
      <c r="K20" s="287">
        <f>J20*(1+J5)</f>
        <v>3926326.6350000007</v>
      </c>
      <c r="L20" s="336">
        <f>K20*(1+K5)</f>
        <v>4122642.9667500011</v>
      </c>
      <c r="M20" s="231"/>
    </row>
    <row r="21" spans="2:13" x14ac:dyDescent="0.2">
      <c r="B21" s="248" t="s">
        <v>5</v>
      </c>
      <c r="C21" s="242">
        <v>-2379746</v>
      </c>
      <c r="D21" s="48">
        <v>-2432818</v>
      </c>
      <c r="E21" s="48">
        <v>-2421633</v>
      </c>
      <c r="F21" s="48">
        <v>-2279485</v>
      </c>
      <c r="G21" s="48">
        <v>-1967585</v>
      </c>
      <c r="H21" s="383">
        <f>-H20*G6</f>
        <v>-2363404.1999999997</v>
      </c>
      <c r="I21" s="382">
        <f t="shared" ref="I21:L21" si="5">-I20*H6</f>
        <v>-2599744.62</v>
      </c>
      <c r="J21" s="382">
        <f t="shared" si="5"/>
        <v>-2729731.8510000003</v>
      </c>
      <c r="K21" s="382">
        <f t="shared" si="5"/>
        <v>-2866218.4435500004</v>
      </c>
      <c r="L21" s="384">
        <f t="shared" si="5"/>
        <v>-3009529.3657275005</v>
      </c>
      <c r="M21" s="231"/>
    </row>
    <row r="22" spans="2:13" x14ac:dyDescent="0.2">
      <c r="B22" s="265" t="s">
        <v>131</v>
      </c>
      <c r="C22" s="348">
        <f>SUM(C20:C21)</f>
        <v>620601</v>
      </c>
      <c r="D22" s="333">
        <f>SUM(D20:D21)</f>
        <v>796014</v>
      </c>
      <c r="E22" s="333">
        <f>SUM(E20:E21)</f>
        <v>920442</v>
      </c>
      <c r="F22" s="332">
        <f>SUM(F20:F21)</f>
        <v>1089353</v>
      </c>
      <c r="G22" s="349">
        <f>SUM(G20:G21)</f>
        <v>730365</v>
      </c>
      <c r="H22" s="380">
        <f>H20+H21</f>
        <v>874135.80000000028</v>
      </c>
      <c r="I22" s="288">
        <f t="shared" ref="I22:L22" si="6">I20+I21</f>
        <v>961549.38000000035</v>
      </c>
      <c r="J22" s="288">
        <f t="shared" si="6"/>
        <v>1009626.8490000004</v>
      </c>
      <c r="K22" s="288">
        <f t="shared" si="6"/>
        <v>1060108.1914500003</v>
      </c>
      <c r="L22" s="381">
        <f t="shared" si="6"/>
        <v>1113113.6010225005</v>
      </c>
      <c r="M22" s="231"/>
    </row>
    <row r="23" spans="2:13" x14ac:dyDescent="0.2">
      <c r="B23" s="248" t="s">
        <v>95</v>
      </c>
      <c r="C23" s="242">
        <v>-109361</v>
      </c>
      <c r="D23" s="48">
        <v>-120354</v>
      </c>
      <c r="E23" s="48">
        <v>-142498</v>
      </c>
      <c r="F23" s="48">
        <v>-132213</v>
      </c>
      <c r="G23" s="335">
        <v>-149849</v>
      </c>
      <c r="H23" s="242">
        <f>G23*(1+G7)</f>
        <v>-157341.45000000001</v>
      </c>
      <c r="I23" s="48">
        <f>H23*(1+H7)</f>
        <v>-165208.52250000002</v>
      </c>
      <c r="J23" s="48">
        <f>I23*(1+I7)</f>
        <v>-173468.94862500002</v>
      </c>
      <c r="K23" s="48">
        <f>J23*(1+J7)</f>
        <v>-182142.39605625003</v>
      </c>
      <c r="L23" s="335">
        <f>K23*(1+K7)</f>
        <v>-191249.51585906255</v>
      </c>
    </row>
    <row r="24" spans="2:13" x14ac:dyDescent="0.2">
      <c r="B24" s="248" t="s">
        <v>10</v>
      </c>
      <c r="C24" s="242">
        <v>-121851</v>
      </c>
      <c r="D24" s="48">
        <v>-114313</v>
      </c>
      <c r="E24" s="48">
        <v>-125553</v>
      </c>
      <c r="F24" s="48">
        <v>-141909</v>
      </c>
      <c r="G24" s="335">
        <v>-106995</v>
      </c>
      <c r="H24" s="242">
        <f>D24*(1+G8)</f>
        <v>-118885.52</v>
      </c>
      <c r="I24" s="48">
        <f>E24*(1+H8)</f>
        <v>-130575.12000000001</v>
      </c>
      <c r="J24" s="48">
        <f>G24*(1+I8)</f>
        <v>-111274.8</v>
      </c>
      <c r="K24" s="48">
        <f>H24*(1+J8)</f>
        <v>-123640.94080000001</v>
      </c>
      <c r="L24" s="335">
        <f>I24*(1+K8)</f>
        <v>-135798.12480000002</v>
      </c>
    </row>
    <row r="25" spans="2:13" x14ac:dyDescent="0.2">
      <c r="B25" s="248" t="s">
        <v>102</v>
      </c>
      <c r="C25" s="242">
        <v>-7104</v>
      </c>
      <c r="D25" s="48">
        <v>-13610</v>
      </c>
      <c r="E25" s="48">
        <v>101796</v>
      </c>
      <c r="F25" s="48">
        <v>62224</v>
      </c>
      <c r="G25" s="335">
        <v>134961</v>
      </c>
      <c r="H25" s="242">
        <f>G25*(1+G9)</f>
        <v>138335.02499999999</v>
      </c>
      <c r="I25" s="48">
        <f>H25*(1+H9)</f>
        <v>141793.40062499998</v>
      </c>
      <c r="J25" s="48">
        <f>I25*(1+I9)</f>
        <v>145338.23564062497</v>
      </c>
      <c r="K25" s="48">
        <f>J25*(1+J9)</f>
        <v>148971.69153164059</v>
      </c>
      <c r="L25" s="335">
        <f>K25*(1+K9)</f>
        <v>152695.9838199316</v>
      </c>
    </row>
    <row r="26" spans="2:13" x14ac:dyDescent="0.2">
      <c r="B26" s="265" t="s">
        <v>132</v>
      </c>
      <c r="C26" s="348">
        <f t="shared" ref="C26:H26" si="7">SUM(C22:C25)</f>
        <v>382285</v>
      </c>
      <c r="D26" s="333">
        <f t="shared" si="7"/>
        <v>547737</v>
      </c>
      <c r="E26" s="333">
        <f t="shared" si="7"/>
        <v>754187</v>
      </c>
      <c r="F26" s="332">
        <f t="shared" si="7"/>
        <v>877455</v>
      </c>
      <c r="G26" s="349">
        <f t="shared" si="7"/>
        <v>608482</v>
      </c>
      <c r="H26" s="344">
        <f t="shared" si="7"/>
        <v>736243.85500000033</v>
      </c>
      <c r="I26" s="287">
        <f t="shared" ref="I26:L26" si="8">SUM(I22:I25)</f>
        <v>807559.13812500041</v>
      </c>
      <c r="J26" s="287">
        <f t="shared" si="8"/>
        <v>870221.33601562539</v>
      </c>
      <c r="K26" s="287">
        <f t="shared" si="8"/>
        <v>903296.54612539092</v>
      </c>
      <c r="L26" s="336">
        <f t="shared" si="8"/>
        <v>938761.94418336963</v>
      </c>
    </row>
    <row r="27" spans="2:13" x14ac:dyDescent="0.2">
      <c r="B27" s="248" t="s">
        <v>8</v>
      </c>
      <c r="C27" s="242">
        <v>-20061</v>
      </c>
      <c r="D27" s="48">
        <v>-4084</v>
      </c>
      <c r="E27" s="48">
        <v>-3707</v>
      </c>
      <c r="F27" s="48">
        <v>-12748</v>
      </c>
      <c r="G27" s="335">
        <v>-9802</v>
      </c>
      <c r="H27" s="242">
        <f>G27*(1-G10)</f>
        <v>-9860.8119999999999</v>
      </c>
      <c r="I27" s="48">
        <f>H27*(1-H10)</f>
        <v>-9919.9768719999993</v>
      </c>
      <c r="J27" s="48">
        <f>I27*(1-I10)</f>
        <v>-9979.4967332319993</v>
      </c>
      <c r="K27" s="48">
        <f>J27*(1-J10)</f>
        <v>-10039.373713631392</v>
      </c>
      <c r="L27" s="335">
        <f>K27*(1-K10)</f>
        <v>-10099.60995591318</v>
      </c>
    </row>
    <row r="28" spans="2:13" x14ac:dyDescent="0.2">
      <c r="B28" s="265" t="s">
        <v>122</v>
      </c>
      <c r="C28" s="348">
        <f>SUM(C26:C27)</f>
        <v>362224</v>
      </c>
      <c r="D28" s="333">
        <f>SUM(D26:D27)</f>
        <v>543653</v>
      </c>
      <c r="E28" s="333">
        <f>SUM(E26:E27)</f>
        <v>750480</v>
      </c>
      <c r="F28" s="332">
        <f>SUM(F26:F27)</f>
        <v>864707</v>
      </c>
      <c r="G28" s="349">
        <f>SUM(G26:G27)</f>
        <v>598680</v>
      </c>
      <c r="H28" s="344">
        <f>H26+H27</f>
        <v>726383.0430000003</v>
      </c>
      <c r="I28" s="287">
        <f t="shared" ref="I28:L28" si="9">I26+I27</f>
        <v>797639.16125300038</v>
      </c>
      <c r="J28" s="287">
        <f t="shared" si="9"/>
        <v>860241.83928239334</v>
      </c>
      <c r="K28" s="287">
        <f t="shared" si="9"/>
        <v>893257.1724117595</v>
      </c>
      <c r="L28" s="336">
        <f t="shared" si="9"/>
        <v>928662.33422745648</v>
      </c>
    </row>
    <row r="29" spans="2:13" x14ac:dyDescent="0.2">
      <c r="B29" s="248" t="s">
        <v>23</v>
      </c>
      <c r="C29" s="242">
        <v>-63694</v>
      </c>
      <c r="D29" s="48">
        <v>-102653</v>
      </c>
      <c r="E29" s="48">
        <v>-165626</v>
      </c>
      <c r="F29" s="48">
        <v>-199454</v>
      </c>
      <c r="G29" s="335">
        <v>-129898</v>
      </c>
      <c r="H29" s="242">
        <f>H28*-G11</f>
        <v>-159804.26946000007</v>
      </c>
      <c r="I29" s="48">
        <f>I28*-H11</f>
        <v>-175480.61547566007</v>
      </c>
      <c r="J29" s="48">
        <f>J28*-I11</f>
        <v>-189253.20464212654</v>
      </c>
      <c r="K29" s="48">
        <f>K28*-J11</f>
        <v>-196516.57793058708</v>
      </c>
      <c r="L29" s="335">
        <f>L28*-K11</f>
        <v>-204305.71353004043</v>
      </c>
      <c r="M29" s="12"/>
    </row>
    <row r="30" spans="2:13" x14ac:dyDescent="0.2">
      <c r="B30" s="248" t="s">
        <v>209</v>
      </c>
      <c r="C30" s="242">
        <f t="shared" ref="C30:H30" si="10">-C36</f>
        <v>412.65</v>
      </c>
      <c r="D30" s="48">
        <f t="shared" si="10"/>
        <v>-8129.6039999999994</v>
      </c>
      <c r="E30" s="48">
        <f t="shared" si="10"/>
        <v>-4070.26</v>
      </c>
      <c r="F30" s="49">
        <f t="shared" si="10"/>
        <v>-2512.692</v>
      </c>
      <c r="G30" s="251">
        <f t="shared" si="10"/>
        <v>83328.567999999999</v>
      </c>
      <c r="H30" s="242">
        <f t="shared" si="10"/>
        <v>-1487.7746099999999</v>
      </c>
      <c r="I30" s="48">
        <f t="shared" ref="I30:L30" si="11">-I36</f>
        <v>-1555.6007947000001</v>
      </c>
      <c r="J30" s="48">
        <f t="shared" si="11"/>
        <v>-1626.3894827970003</v>
      </c>
      <c r="K30" s="48">
        <f t="shared" si="11"/>
        <v>-1700.2666581071505</v>
      </c>
      <c r="L30" s="335">
        <f t="shared" si="11"/>
        <v>-1777.3635683096547</v>
      </c>
    </row>
    <row r="31" spans="2:13" x14ac:dyDescent="0.2">
      <c r="B31" s="248" t="s">
        <v>210</v>
      </c>
      <c r="C31" s="350">
        <f t="shared" ref="C31:H31" si="12">C29+C30</f>
        <v>-63281.35</v>
      </c>
      <c r="D31" s="49">
        <f t="shared" si="12"/>
        <v>-110782.60399999999</v>
      </c>
      <c r="E31" s="49">
        <f t="shared" si="12"/>
        <v>-169696.26</v>
      </c>
      <c r="F31" s="49">
        <f t="shared" si="12"/>
        <v>-201966.69200000001</v>
      </c>
      <c r="G31" s="251">
        <f t="shared" si="12"/>
        <v>-46569.432000000001</v>
      </c>
      <c r="H31" s="242">
        <f t="shared" si="12"/>
        <v>-161292.04407000006</v>
      </c>
      <c r="I31" s="48">
        <f t="shared" ref="I31:L31" si="13">I29+I30</f>
        <v>-177036.21627036008</v>
      </c>
      <c r="J31" s="48">
        <f t="shared" si="13"/>
        <v>-190879.59412492355</v>
      </c>
      <c r="K31" s="48">
        <f t="shared" si="13"/>
        <v>-198216.84458869422</v>
      </c>
      <c r="L31" s="335">
        <f t="shared" si="13"/>
        <v>-206083.0770983501</v>
      </c>
    </row>
    <row r="32" spans="2:13" x14ac:dyDescent="0.2">
      <c r="B32" s="265" t="s">
        <v>126</v>
      </c>
      <c r="C32" s="348">
        <f t="shared" ref="C32:H32" si="14">C28+C31</f>
        <v>298942.65000000002</v>
      </c>
      <c r="D32" s="333">
        <f t="shared" si="14"/>
        <v>432870.39600000001</v>
      </c>
      <c r="E32" s="333">
        <f t="shared" si="14"/>
        <v>580783.74</v>
      </c>
      <c r="F32" s="332">
        <f t="shared" si="14"/>
        <v>662740.30799999996</v>
      </c>
      <c r="G32" s="349">
        <f t="shared" si="14"/>
        <v>552110.56799999997</v>
      </c>
      <c r="H32" s="344">
        <f t="shared" si="14"/>
        <v>565090.99893000023</v>
      </c>
      <c r="I32" s="287">
        <f t="shared" ref="I32:L32" si="15">I28+I31</f>
        <v>620602.94498264033</v>
      </c>
      <c r="J32" s="287">
        <f t="shared" si="15"/>
        <v>669362.24515746976</v>
      </c>
      <c r="K32" s="287">
        <f t="shared" si="15"/>
        <v>695040.32782306522</v>
      </c>
      <c r="L32" s="336">
        <f t="shared" si="15"/>
        <v>722579.25712910644</v>
      </c>
    </row>
    <row r="33" spans="2:12" x14ac:dyDescent="0.2">
      <c r="B33" s="248" t="s">
        <v>18</v>
      </c>
      <c r="C33" s="242">
        <v>8264</v>
      </c>
      <c r="D33" s="48">
        <v>12749</v>
      </c>
      <c r="E33" s="48">
        <v>10219</v>
      </c>
      <c r="F33" s="48">
        <v>16742</v>
      </c>
      <c r="G33" s="335">
        <v>21313</v>
      </c>
      <c r="H33" s="242">
        <f>E33*(1+G12)</f>
        <v>10525.57</v>
      </c>
      <c r="I33" s="48">
        <f>H33*(1+H12)</f>
        <v>10841.337100000001</v>
      </c>
      <c r="J33" s="48">
        <f>I33*(1+I12)</f>
        <v>11166.577213</v>
      </c>
      <c r="K33" s="48">
        <f>J33*(1+J12)</f>
        <v>11501.57452939</v>
      </c>
      <c r="L33" s="335">
        <f>K33*(1+K12)</f>
        <v>11846.6217652717</v>
      </c>
    </row>
    <row r="34" spans="2:12" x14ac:dyDescent="0.2">
      <c r="B34" s="248" t="s">
        <v>208</v>
      </c>
      <c r="C34" s="242">
        <v>31679</v>
      </c>
      <c r="D34" s="48">
        <v>0</v>
      </c>
      <c r="E34" s="48">
        <v>0</v>
      </c>
      <c r="F34" s="48">
        <v>0</v>
      </c>
      <c r="G34" s="335">
        <v>1045127</v>
      </c>
      <c r="H34" s="242">
        <v>0</v>
      </c>
      <c r="I34" s="48">
        <v>0</v>
      </c>
      <c r="J34" s="48">
        <v>0</v>
      </c>
      <c r="K34" s="48">
        <v>0</v>
      </c>
      <c r="L34" s="335">
        <v>0</v>
      </c>
    </row>
    <row r="35" spans="2:12" x14ac:dyDescent="0.2">
      <c r="B35" s="248" t="s">
        <v>20</v>
      </c>
      <c r="C35" s="242">
        <v>-37585</v>
      </c>
      <c r="D35" s="48">
        <v>-52600</v>
      </c>
      <c r="E35" s="48">
        <v>-28229</v>
      </c>
      <c r="F35" s="48">
        <v>-27480</v>
      </c>
      <c r="G35" s="335">
        <v>-11648</v>
      </c>
      <c r="H35" s="242">
        <f>E35*(1+G13)</f>
        <v>-29358.16</v>
      </c>
      <c r="I35" s="48">
        <f>H35*(1+H13)</f>
        <v>-30532.486400000002</v>
      </c>
      <c r="J35" s="48">
        <f>I35*(1+I13)</f>
        <v>-31753.785856000002</v>
      </c>
      <c r="K35" s="48">
        <f>J35*(1+J13)</f>
        <v>-33023.937290240006</v>
      </c>
      <c r="L35" s="335">
        <f>K35*(1+K13)</f>
        <v>-34344.894781849609</v>
      </c>
    </row>
    <row r="36" spans="2:12" x14ac:dyDescent="0.2">
      <c r="B36" s="248" t="s">
        <v>209</v>
      </c>
      <c r="C36" s="350">
        <f>-(C33+C34+C35)*0.175</f>
        <v>-412.65</v>
      </c>
      <c r="D36" s="49">
        <f>-(D33+D34+D35)*0.204</f>
        <v>8129.6039999999994</v>
      </c>
      <c r="E36" s="49">
        <f>-(E33+E34+E35)*0.226</f>
        <v>4070.26</v>
      </c>
      <c r="F36" s="49">
        <f>-(F33+F34+F35)*0.234</f>
        <v>2512.692</v>
      </c>
      <c r="G36" s="251">
        <f>-(G33+G34+G35)*0.079</f>
        <v>-83328.567999999999</v>
      </c>
      <c r="H36" s="242">
        <f>-(H33+H34+H35)*0.079</f>
        <v>1487.7746099999999</v>
      </c>
      <c r="I36" s="48">
        <f t="shared" ref="I36:L36" si="16">-(I33+I34+I35)*0.079</f>
        <v>1555.6007947000001</v>
      </c>
      <c r="J36" s="48">
        <f t="shared" si="16"/>
        <v>1626.3894827970003</v>
      </c>
      <c r="K36" s="48">
        <f t="shared" si="16"/>
        <v>1700.2666581071505</v>
      </c>
      <c r="L36" s="335">
        <f t="shared" si="16"/>
        <v>1777.3635683096547</v>
      </c>
    </row>
    <row r="37" spans="2:12" x14ac:dyDescent="0.2">
      <c r="B37" s="268" t="s">
        <v>211</v>
      </c>
      <c r="C37" s="351">
        <f t="shared" ref="C37:H37" si="17">SUM(C32:C36)</f>
        <v>300888</v>
      </c>
      <c r="D37" s="337">
        <f t="shared" si="17"/>
        <v>401149</v>
      </c>
      <c r="E37" s="337">
        <f t="shared" si="17"/>
        <v>566844</v>
      </c>
      <c r="F37" s="357">
        <f t="shared" si="17"/>
        <v>654515</v>
      </c>
      <c r="G37" s="352">
        <f t="shared" si="17"/>
        <v>1523574</v>
      </c>
      <c r="H37" s="345">
        <f t="shared" si="17"/>
        <v>547746.18354000011</v>
      </c>
      <c r="I37" s="338">
        <f t="shared" ref="I37:L37" si="18">SUM(I32:I36)</f>
        <v>602467.39647734025</v>
      </c>
      <c r="J37" s="338">
        <f t="shared" si="18"/>
        <v>650401.42599726678</v>
      </c>
      <c r="K37" s="338">
        <f t="shared" si="18"/>
        <v>675218.23172032239</v>
      </c>
      <c r="L37" s="339">
        <f t="shared" si="18"/>
        <v>701858.3476808382</v>
      </c>
    </row>
  </sheetData>
  <mergeCells count="7">
    <mergeCell ref="N3:N4"/>
    <mergeCell ref="G2:J2"/>
    <mergeCell ref="B16:B17"/>
    <mergeCell ref="B3:B4"/>
    <mergeCell ref="H16:K16"/>
    <mergeCell ref="C16:G16"/>
    <mergeCell ref="C2:F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D1B31-CB71-D642-AD91-0639EF9970D7}">
  <dimension ref="A1:R64"/>
  <sheetViews>
    <sheetView zoomScale="150" zoomScaleNormal="120" workbookViewId="0">
      <selection activeCell="B7" sqref="B7"/>
    </sheetView>
  </sheetViews>
  <sheetFormatPr baseColWidth="10" defaultRowHeight="16" x14ac:dyDescent="0.2"/>
  <cols>
    <col min="1" max="1" width="3.83203125" style="61" customWidth="1"/>
    <col min="2" max="2" width="52.83203125" bestFit="1" customWidth="1"/>
    <col min="3" max="5" width="8.83203125" customWidth="1"/>
    <col min="6" max="6" width="10.1640625" bestFit="1" customWidth="1"/>
    <col min="7" max="7" width="8.83203125" customWidth="1"/>
    <col min="8" max="11" width="9.33203125" bestFit="1" customWidth="1"/>
    <col min="13" max="13" width="39.83203125" bestFit="1" customWidth="1"/>
    <col min="14" max="15" width="8.6640625" bestFit="1" customWidth="1"/>
  </cols>
  <sheetData>
    <row r="1" spans="2:12" x14ac:dyDescent="0.2">
      <c r="B1" s="61"/>
      <c r="C1" s="61"/>
      <c r="D1" s="61"/>
      <c r="E1" s="61"/>
      <c r="F1" s="61"/>
      <c r="G1" s="61"/>
      <c r="H1" s="61"/>
      <c r="I1" s="61"/>
      <c r="J1" s="61"/>
      <c r="K1" s="61"/>
    </row>
    <row r="2" spans="2:12" x14ac:dyDescent="0.2">
      <c r="B2" s="61"/>
      <c r="C2" s="553" t="s">
        <v>302</v>
      </c>
      <c r="D2" s="553"/>
      <c r="E2" s="553"/>
      <c r="F2" s="553"/>
      <c r="G2" s="553" t="s">
        <v>297</v>
      </c>
      <c r="H2" s="553"/>
      <c r="I2" s="553"/>
      <c r="J2" s="553"/>
      <c r="K2" s="455" t="s">
        <v>296</v>
      </c>
      <c r="L2" s="61"/>
    </row>
    <row r="3" spans="2:12" x14ac:dyDescent="0.2">
      <c r="B3" s="547" t="s">
        <v>389</v>
      </c>
      <c r="C3" s="203">
        <v>-3</v>
      </c>
      <c r="D3" s="204">
        <v>-2</v>
      </c>
      <c r="E3" s="204">
        <v>-1</v>
      </c>
      <c r="F3" s="472">
        <v>0</v>
      </c>
      <c r="G3" s="204">
        <v>1</v>
      </c>
      <c r="H3" s="204">
        <v>2</v>
      </c>
      <c r="I3" s="204">
        <v>3</v>
      </c>
      <c r="J3" s="205">
        <v>4</v>
      </c>
      <c r="K3" s="205">
        <v>5</v>
      </c>
      <c r="L3" s="61"/>
    </row>
    <row r="4" spans="2:12" x14ac:dyDescent="0.2">
      <c r="B4" s="548"/>
      <c r="C4" s="468" t="s">
        <v>166</v>
      </c>
      <c r="D4" s="469" t="s">
        <v>167</v>
      </c>
      <c r="E4" s="469">
        <v>2019</v>
      </c>
      <c r="F4" s="473" t="s">
        <v>268</v>
      </c>
      <c r="G4" s="470">
        <v>2021</v>
      </c>
      <c r="H4" s="470">
        <v>2022</v>
      </c>
      <c r="I4" s="470">
        <v>2023</v>
      </c>
      <c r="J4" s="471">
        <v>2024</v>
      </c>
      <c r="K4" s="471">
        <v>2025</v>
      </c>
      <c r="L4" s="61"/>
    </row>
    <row r="5" spans="2:12" x14ac:dyDescent="0.2">
      <c r="B5" s="234" t="s">
        <v>303</v>
      </c>
      <c r="C5" s="367">
        <f>D21</f>
        <v>383376</v>
      </c>
      <c r="D5" s="71">
        <f t="shared" ref="D5:E5" si="0">D21</f>
        <v>383376</v>
      </c>
      <c r="E5" s="71">
        <f t="shared" si="0"/>
        <v>383376</v>
      </c>
      <c r="F5" s="71">
        <f>E21</f>
        <v>383376</v>
      </c>
      <c r="G5" s="367">
        <f>F21</f>
        <v>383376</v>
      </c>
      <c r="H5" s="71">
        <f>G21</f>
        <v>383376</v>
      </c>
      <c r="I5" s="71">
        <f>H5</f>
        <v>383376</v>
      </c>
      <c r="J5" s="366">
        <f t="shared" ref="J5:K5" si="1">I5</f>
        <v>383376</v>
      </c>
      <c r="K5" s="366">
        <f t="shared" si="1"/>
        <v>383376</v>
      </c>
      <c r="L5" s="61"/>
    </row>
    <row r="6" spans="2:12" x14ac:dyDescent="0.2">
      <c r="B6" s="232" t="s">
        <v>304</v>
      </c>
      <c r="C6" s="464">
        <f>D22/Resultatny!K5</f>
        <v>3.5393603631282146E-3</v>
      </c>
      <c r="D6" s="179">
        <f>E22/Resultatny!L5</f>
        <v>2.5627791117793586E-3</v>
      </c>
      <c r="E6" s="179">
        <f>F22/Resultatny!M5</f>
        <v>1.6587321800573373E-3</v>
      </c>
      <c r="F6" s="179">
        <f>G22/Resultatny!N5</f>
        <v>2.7176189328934931E-3</v>
      </c>
      <c r="G6" s="464">
        <v>3.0999999999999999E-3</v>
      </c>
      <c r="H6" s="179">
        <v>3.0999999999999999E-3</v>
      </c>
      <c r="I6" s="179">
        <v>3.0999999999999999E-3</v>
      </c>
      <c r="J6" s="322">
        <v>3.0999999999999999E-3</v>
      </c>
      <c r="K6" s="322">
        <v>3.0999999999999999E-3</v>
      </c>
      <c r="L6" s="61"/>
    </row>
    <row r="7" spans="2:12" x14ac:dyDescent="0.2">
      <c r="B7" s="234" t="s">
        <v>305</v>
      </c>
      <c r="C7" s="243">
        <f>D23/Resultatny!K5</f>
        <v>0</v>
      </c>
      <c r="D7" s="71">
        <f>E23/Resultatny!L5</f>
        <v>0</v>
      </c>
      <c r="E7" s="190">
        <f>F23/Resultatny!M5</f>
        <v>1.3125890885818789E-2</v>
      </c>
      <c r="F7" s="190">
        <f>G23/Resultatny!N5</f>
        <v>1.2963917048129135E-2</v>
      </c>
      <c r="G7" s="368">
        <v>0.01</v>
      </c>
      <c r="H7" s="360">
        <v>0.01</v>
      </c>
      <c r="I7" s="360">
        <v>0.01</v>
      </c>
      <c r="J7" s="361">
        <v>0.01</v>
      </c>
      <c r="K7" s="361">
        <v>0.01</v>
      </c>
      <c r="L7" s="61"/>
    </row>
    <row r="8" spans="2:12" x14ac:dyDescent="0.2">
      <c r="B8" s="232" t="s">
        <v>306</v>
      </c>
      <c r="C8" s="477">
        <f>D24/Resultatny!K5</f>
        <v>9.7942847444524833E-2</v>
      </c>
      <c r="D8" s="465">
        <f>E24/Resultatny!L5</f>
        <v>0.12425813304608664</v>
      </c>
      <c r="E8" s="465">
        <f>F24/Resultatny!M5</f>
        <v>0.12772386205569991</v>
      </c>
      <c r="F8" s="465">
        <f>G24/Resultatny!N5</f>
        <v>0.15079968123945958</v>
      </c>
      <c r="G8" s="463">
        <v>0.15</v>
      </c>
      <c r="H8" s="292">
        <v>0.15</v>
      </c>
      <c r="I8" s="292">
        <v>0.15</v>
      </c>
      <c r="J8" s="293">
        <v>0.15</v>
      </c>
      <c r="K8" s="293">
        <v>0.15</v>
      </c>
      <c r="L8" s="61"/>
    </row>
    <row r="9" spans="2:12" x14ac:dyDescent="0.2">
      <c r="B9" s="234" t="s">
        <v>308</v>
      </c>
      <c r="C9" s="368">
        <f>(D25+D26)/Resultatny!K5</f>
        <v>0.10437861121297114</v>
      </c>
      <c r="D9" s="360">
        <f>(E25+E26)/Resultatny!L5</f>
        <v>0.13325972636760097</v>
      </c>
      <c r="E9" s="360">
        <f>(F25+F26)/Resultatny!M5</f>
        <v>7.0106072182752624E-2</v>
      </c>
      <c r="F9" s="360">
        <f>(G25+G26)/Resultatny!N5</f>
        <v>7.1587686947497176E-2</v>
      </c>
      <c r="G9" s="362">
        <v>0.09</v>
      </c>
      <c r="H9" s="213">
        <v>0.09</v>
      </c>
      <c r="I9" s="213">
        <v>0.09</v>
      </c>
      <c r="J9" s="214">
        <v>0.09</v>
      </c>
      <c r="K9" s="214">
        <v>0.09</v>
      </c>
      <c r="L9" s="61"/>
    </row>
    <row r="10" spans="2:12" x14ac:dyDescent="0.2">
      <c r="B10" s="232" t="s">
        <v>307</v>
      </c>
      <c r="C10" s="477">
        <f>D27/Resultatny!K5</f>
        <v>-2.5872203942478272E-2</v>
      </c>
      <c r="D10" s="465">
        <f>E27/Resultatny!L5</f>
        <v>-2.7830314998915345E-2</v>
      </c>
      <c r="E10" s="465">
        <f>F27/Resultatny!M5</f>
        <v>-7.255914353851387E-3</v>
      </c>
      <c r="F10" s="465">
        <f>G27/Resultatny!N5</f>
        <v>-1.1307103541577865E-2</v>
      </c>
      <c r="G10" s="463">
        <v>1.7999999999999999E-2</v>
      </c>
      <c r="H10" s="292">
        <v>1.7999999999999999E-2</v>
      </c>
      <c r="I10" s="292">
        <v>1.7999999999999999E-2</v>
      </c>
      <c r="J10" s="293">
        <v>1.7999999999999999E-2</v>
      </c>
      <c r="K10" s="293">
        <v>1.7999999999999999E-2</v>
      </c>
      <c r="L10" s="61"/>
    </row>
    <row r="11" spans="2:12" x14ac:dyDescent="0.2">
      <c r="B11" s="234" t="s">
        <v>309</v>
      </c>
      <c r="C11" s="368">
        <f>(D27+D28+D29+D30)/Resultatny!K5</f>
        <v>-4.7156061386903994E-2</v>
      </c>
      <c r="D11" s="360">
        <f>(E27+E28+E29+E30)/Resultatny!L5</f>
        <v>-4.6859810147887163E-2</v>
      </c>
      <c r="E11" s="360">
        <f>(F27+F28+F29+F30)/Resultatny!M5</f>
        <v>-3.6566020687251809E-2</v>
      </c>
      <c r="F11" s="360">
        <f>(G27+G28+G29+G30)/Resultatny!N5</f>
        <v>-5.0196260123427046E-2</v>
      </c>
      <c r="G11" s="362">
        <v>-4.4999999999999998E-2</v>
      </c>
      <c r="H11" s="213">
        <v>-4.4999999999999998E-2</v>
      </c>
      <c r="I11" s="213">
        <v>-4.4999999999999998E-2</v>
      </c>
      <c r="J11" s="214">
        <v>-4.4999999999999998E-2</v>
      </c>
      <c r="K11" s="214">
        <v>-4.4999999999999998E-2</v>
      </c>
      <c r="L11" s="61"/>
    </row>
    <row r="12" spans="2:12" x14ac:dyDescent="0.2">
      <c r="B12" s="232" t="s">
        <v>310</v>
      </c>
      <c r="C12" s="477">
        <f>D32/Resultatny!K5</f>
        <v>1.438271796116986</v>
      </c>
      <c r="D12" s="465">
        <f>E32/Resultatny!L5</f>
        <v>1.2885120770778633</v>
      </c>
      <c r="E12" s="465">
        <f>F32/Resultatny!M5</f>
        <v>1.0795007061782134</v>
      </c>
      <c r="F12" s="465">
        <f>G32/Resultatny!N5</f>
        <v>1.4606619840990382</v>
      </c>
      <c r="G12" s="463">
        <v>1.3</v>
      </c>
      <c r="H12" s="292">
        <v>1.3</v>
      </c>
      <c r="I12" s="292">
        <v>1.3</v>
      </c>
      <c r="J12" s="293">
        <v>1.3</v>
      </c>
      <c r="K12" s="293">
        <v>1.3</v>
      </c>
      <c r="L12" s="61"/>
    </row>
    <row r="13" spans="2:12" x14ac:dyDescent="0.2">
      <c r="B13" s="234" t="s">
        <v>311</v>
      </c>
      <c r="C13" s="368">
        <f>(C33+C34)/Resultatny!K5</f>
        <v>9.0844615018681685E-2</v>
      </c>
      <c r="D13" s="360">
        <f>(D33+D34)/Resultatny!L5</f>
        <v>5.2199008101254461E-2</v>
      </c>
      <c r="E13" s="360">
        <f>(E33+E34)/Resultatny!M5</f>
        <v>8.1691669353052887E-2</v>
      </c>
      <c r="F13" s="360">
        <f>(F33+F34)/Resultatny!N5</f>
        <v>4.9397505513445392E-2</v>
      </c>
      <c r="G13" s="362">
        <v>7.0000000000000007E-2</v>
      </c>
      <c r="H13" s="213">
        <v>7.0000000000000007E-2</v>
      </c>
      <c r="I13" s="213">
        <v>7.0000000000000007E-2</v>
      </c>
      <c r="J13" s="214">
        <v>7.0000000000000007E-2</v>
      </c>
      <c r="K13" s="214">
        <v>7.0000000000000007E-2</v>
      </c>
      <c r="L13" s="61"/>
    </row>
    <row r="14" spans="2:12" x14ac:dyDescent="0.2">
      <c r="B14" s="232" t="s">
        <v>312</v>
      </c>
      <c r="C14" s="477">
        <f>(D36+D37+D38+D35)/Resultatny!K5</f>
        <v>-0.34797196013914627</v>
      </c>
      <c r="D14" s="465">
        <f>(E36+E37+E38+E35)/Resultatny!L5</f>
        <v>-0.269832663839082</v>
      </c>
      <c r="E14" s="465">
        <f>(F36+F37+F38+F35)/Resultatny!M5</f>
        <v>-0.32496991544265413</v>
      </c>
      <c r="F14" s="465">
        <f>(G36+G37+G38+G35)/Resultatny!N5</f>
        <v>-0.34400266869289647</v>
      </c>
      <c r="G14" s="463">
        <v>-0.32</v>
      </c>
      <c r="H14" s="292">
        <v>-0.32</v>
      </c>
      <c r="I14" s="292">
        <v>-0.32</v>
      </c>
      <c r="J14" s="293">
        <v>-0.32</v>
      </c>
      <c r="K14" s="293">
        <v>-0.32</v>
      </c>
      <c r="L14" s="61"/>
    </row>
    <row r="15" spans="2:12" x14ac:dyDescent="0.2">
      <c r="B15" s="236" t="s">
        <v>313</v>
      </c>
      <c r="C15" s="369">
        <f>D57/(D41-D21)</f>
        <v>0.4117894249466223</v>
      </c>
      <c r="D15" s="314">
        <f t="shared" ref="D15:F15" si="2">E57/(E41-E21)</f>
        <v>0.37783065808894595</v>
      </c>
      <c r="E15" s="314">
        <f t="shared" si="2"/>
        <v>8.2470917860146875E-2</v>
      </c>
      <c r="F15" s="314">
        <f t="shared" si="2"/>
        <v>0.43537093204901711</v>
      </c>
      <c r="G15" s="369">
        <v>0.4</v>
      </c>
      <c r="H15" s="314">
        <v>0.4</v>
      </c>
      <c r="I15" s="314">
        <v>0.4</v>
      </c>
      <c r="J15" s="315">
        <v>0.4</v>
      </c>
      <c r="K15" s="315">
        <v>0.4</v>
      </c>
      <c r="L15" s="61"/>
    </row>
    <row r="16" spans="2:12" x14ac:dyDescent="0.2">
      <c r="B16" s="61"/>
      <c r="C16" s="61"/>
      <c r="D16" s="61"/>
      <c r="E16" s="61"/>
      <c r="F16" s="61"/>
      <c r="G16" s="61"/>
      <c r="H16" s="61"/>
      <c r="I16" s="61"/>
      <c r="J16" s="61"/>
      <c r="K16" s="61"/>
      <c r="L16" s="61"/>
    </row>
    <row r="17" spans="2:13" x14ac:dyDescent="0.2">
      <c r="B17" s="61"/>
      <c r="C17" s="61"/>
      <c r="D17" s="61"/>
      <c r="E17" s="61"/>
      <c r="F17" s="61"/>
      <c r="G17" s="61"/>
      <c r="H17" s="61"/>
      <c r="I17" s="61"/>
      <c r="J17" s="61"/>
      <c r="K17" s="61"/>
      <c r="L17" s="61"/>
      <c r="M17" s="61"/>
    </row>
    <row r="18" spans="2:13" x14ac:dyDescent="0.2">
      <c r="B18" s="549" t="s">
        <v>34</v>
      </c>
      <c r="C18" s="541" t="s">
        <v>302</v>
      </c>
      <c r="D18" s="541"/>
      <c r="E18" s="541"/>
      <c r="F18" s="541"/>
      <c r="G18" s="541"/>
      <c r="H18" s="541" t="s">
        <v>297</v>
      </c>
      <c r="I18" s="541"/>
      <c r="J18" s="541"/>
      <c r="K18" s="541"/>
      <c r="L18" s="334" t="s">
        <v>296</v>
      </c>
      <c r="M18" s="61"/>
    </row>
    <row r="19" spans="2:13" x14ac:dyDescent="0.2">
      <c r="B19" s="549"/>
      <c r="C19" s="355" t="s">
        <v>168</v>
      </c>
      <c r="D19" s="355" t="s">
        <v>166</v>
      </c>
      <c r="E19" s="355" t="s">
        <v>167</v>
      </c>
      <c r="F19" s="356">
        <v>2019</v>
      </c>
      <c r="G19" s="356">
        <v>2020</v>
      </c>
      <c r="H19" s="356">
        <v>2021</v>
      </c>
      <c r="I19" s="356">
        <v>2022</v>
      </c>
      <c r="J19" s="356">
        <v>2023</v>
      </c>
      <c r="K19" s="356">
        <v>2024</v>
      </c>
      <c r="L19" s="356">
        <v>2025</v>
      </c>
      <c r="M19" s="61"/>
    </row>
    <row r="20" spans="2:13" x14ac:dyDescent="0.2">
      <c r="B20" s="121"/>
      <c r="C20" s="122"/>
      <c r="D20" s="122"/>
      <c r="E20" s="122"/>
      <c r="F20" s="123"/>
      <c r="G20" s="123"/>
      <c r="H20" s="123"/>
      <c r="I20" s="123"/>
      <c r="J20" s="123"/>
      <c r="K20" s="123"/>
      <c r="L20" s="123"/>
      <c r="M20" s="61"/>
    </row>
    <row r="21" spans="2:13" x14ac:dyDescent="0.2">
      <c r="B21" s="121" t="s">
        <v>35</v>
      </c>
      <c r="C21" s="123">
        <v>383376</v>
      </c>
      <c r="D21" s="123">
        <v>383376</v>
      </c>
      <c r="E21" s="123">
        <v>383376</v>
      </c>
      <c r="F21" s="123">
        <v>383376</v>
      </c>
      <c r="G21" s="123">
        <v>383376</v>
      </c>
      <c r="H21" s="123">
        <f>G21</f>
        <v>383376</v>
      </c>
      <c r="I21" s="123">
        <f t="shared" ref="I21:L21" si="3">H21</f>
        <v>383376</v>
      </c>
      <c r="J21" s="123">
        <f t="shared" si="3"/>
        <v>383376</v>
      </c>
      <c r="K21" s="123">
        <f t="shared" si="3"/>
        <v>383376</v>
      </c>
      <c r="L21" s="123">
        <f t="shared" si="3"/>
        <v>383376</v>
      </c>
      <c r="M21" s="61"/>
    </row>
    <row r="22" spans="2:13" x14ac:dyDescent="0.2">
      <c r="B22" s="121" t="s">
        <v>36</v>
      </c>
      <c r="C22" s="123">
        <v>10867</v>
      </c>
      <c r="D22" s="123">
        <v>11428</v>
      </c>
      <c r="E22" s="123">
        <v>8565</v>
      </c>
      <c r="F22" s="123">
        <v>5588</v>
      </c>
      <c r="G22" s="123">
        <v>7332</v>
      </c>
      <c r="H22" s="123">
        <f>G6*'F.cast Resultat'!H20</f>
        <v>10036.374</v>
      </c>
      <c r="I22" s="123">
        <f>H6*'F.cast Resultat'!I20</f>
        <v>11040.011400000001</v>
      </c>
      <c r="J22" s="123">
        <f>I6*'F.cast Resultat'!J20</f>
        <v>11592.011970000001</v>
      </c>
      <c r="K22" s="123">
        <f>J6*'F.cast Resultat'!K20</f>
        <v>12171.612568500002</v>
      </c>
      <c r="L22" s="123">
        <f>K6*'F.cast Resultat'!L20</f>
        <v>12780.193196925004</v>
      </c>
      <c r="M22" s="61"/>
    </row>
    <row r="23" spans="2:13" x14ac:dyDescent="0.2">
      <c r="B23" s="121" t="s">
        <v>37</v>
      </c>
      <c r="C23" s="123">
        <v>0</v>
      </c>
      <c r="D23" s="123">
        <v>0</v>
      </c>
      <c r="E23" s="123">
        <v>0</v>
      </c>
      <c r="F23" s="123">
        <v>44219</v>
      </c>
      <c r="G23" s="123">
        <v>34976</v>
      </c>
      <c r="H23" s="123">
        <f>G7*'F.cast Resultat'!H20</f>
        <v>32375.4</v>
      </c>
      <c r="I23" s="123">
        <f>H7*'F.cast Resultat'!I20</f>
        <v>35612.94</v>
      </c>
      <c r="J23" s="123">
        <f>I7*'F.cast Resultat'!J20</f>
        <v>37393.587000000007</v>
      </c>
      <c r="K23" s="123">
        <f>J7*'F.cast Resultat'!K20</f>
        <v>39263.266350000005</v>
      </c>
      <c r="L23" s="123">
        <f>K7*'F.cast Resultat'!L20</f>
        <v>41226.429667500015</v>
      </c>
      <c r="M23" s="61"/>
    </row>
    <row r="24" spans="2:13" x14ac:dyDescent="0.2">
      <c r="B24" s="121" t="s">
        <v>38</v>
      </c>
      <c r="C24" s="123">
        <v>289818</v>
      </c>
      <c r="D24" s="123">
        <v>316241</v>
      </c>
      <c r="E24" s="123">
        <v>415280</v>
      </c>
      <c r="F24" s="123">
        <v>430281</v>
      </c>
      <c r="G24" s="123">
        <v>406850</v>
      </c>
      <c r="H24" s="123">
        <f>G8*'F.cast Resultat'!H20</f>
        <v>485631</v>
      </c>
      <c r="I24" s="123">
        <f>H8*'F.cast Resultat'!I20</f>
        <v>534194.10000000009</v>
      </c>
      <c r="J24" s="123">
        <f>I8*'F.cast Resultat'!J20</f>
        <v>560903.80500000005</v>
      </c>
      <c r="K24" s="123">
        <f>J8*'F.cast Resultat'!K20</f>
        <v>588948.99525000004</v>
      </c>
      <c r="L24" s="123">
        <f>K8*'F.cast Resultat'!L20</f>
        <v>618396.44501250016</v>
      </c>
      <c r="M24" s="61"/>
    </row>
    <row r="25" spans="2:13" x14ac:dyDescent="0.2">
      <c r="B25" s="121" t="s">
        <v>62</v>
      </c>
      <c r="C25" s="123">
        <v>63757</v>
      </c>
      <c r="D25" s="123">
        <v>122982</v>
      </c>
      <c r="E25" s="123">
        <v>119290</v>
      </c>
      <c r="F25" s="123">
        <v>70893</v>
      </c>
      <c r="G25" s="123">
        <v>73539</v>
      </c>
      <c r="H25" s="551">
        <f>G9*'F.cast Resultat'!H20</f>
        <v>291378.59999999998</v>
      </c>
      <c r="I25" s="551">
        <f>H9*'F.cast Resultat'!I20</f>
        <v>320516.46000000002</v>
      </c>
      <c r="J25" s="551">
        <f>I9*'F.cast Resultat'!J20</f>
        <v>336542.28300000005</v>
      </c>
      <c r="K25" s="551">
        <f>J9*'F.cast Resultat'!K20</f>
        <v>353369.39715000003</v>
      </c>
      <c r="L25" s="551">
        <f>K9*'F.cast Resultat'!L20</f>
        <v>371037.86700750008</v>
      </c>
      <c r="M25" s="61"/>
    </row>
    <row r="26" spans="2:13" x14ac:dyDescent="0.2">
      <c r="B26" s="121" t="s">
        <v>40</v>
      </c>
      <c r="C26" s="123">
        <v>197318</v>
      </c>
      <c r="D26" s="123">
        <v>214039</v>
      </c>
      <c r="E26" s="123">
        <v>326074</v>
      </c>
      <c r="F26" s="123">
        <v>165283</v>
      </c>
      <c r="G26" s="123">
        <v>119601</v>
      </c>
      <c r="H26" s="551"/>
      <c r="I26" s="551"/>
      <c r="J26" s="551"/>
      <c r="K26" s="551"/>
      <c r="L26" s="551"/>
      <c r="M26" s="61"/>
    </row>
    <row r="27" spans="2:13" x14ac:dyDescent="0.2">
      <c r="B27" s="127" t="s">
        <v>90</v>
      </c>
      <c r="C27" s="123">
        <v>-84486</v>
      </c>
      <c r="D27" s="123">
        <v>-83537</v>
      </c>
      <c r="E27" s="123">
        <v>-93011</v>
      </c>
      <c r="F27" s="123">
        <v>-24444</v>
      </c>
      <c r="G27" s="123">
        <v>-30506</v>
      </c>
      <c r="H27" s="123">
        <f>-G10*'F.cast Resultat'!H20</f>
        <v>-58275.719999999994</v>
      </c>
      <c r="I27" s="123">
        <f>-H10*'F.cast Resultat'!I20</f>
        <v>-64103.292000000001</v>
      </c>
      <c r="J27" s="123">
        <f>-I10*'F.cast Resultat'!J20</f>
        <v>-67308.456600000005</v>
      </c>
      <c r="K27" s="123">
        <f>-J10*'F.cast Resultat'!K20</f>
        <v>-70673.879430000001</v>
      </c>
      <c r="L27" s="123">
        <f>-K10*'F.cast Resultat'!L20</f>
        <v>-74207.57340150002</v>
      </c>
      <c r="M27" s="61"/>
    </row>
    <row r="28" spans="2:13" x14ac:dyDescent="0.2">
      <c r="B28" s="127" t="s">
        <v>52</v>
      </c>
      <c r="C28" s="123">
        <v>-75073</v>
      </c>
      <c r="D28" s="123">
        <v>-60373</v>
      </c>
      <c r="E28" s="123">
        <v>-60373</v>
      </c>
      <c r="F28" s="123">
        <v>-60373</v>
      </c>
      <c r="G28" s="123">
        <v>-60373</v>
      </c>
      <c r="H28" s="552">
        <f>G11*'F.cast Resultat'!H20</f>
        <v>-145689.29999999999</v>
      </c>
      <c r="I28" s="552">
        <f>H11*'F.cast Resultat'!I20</f>
        <v>-160258.23000000001</v>
      </c>
      <c r="J28" s="552">
        <f>I11*'F.cast Resultat'!J20</f>
        <v>-168271.14150000003</v>
      </c>
      <c r="K28" s="552">
        <f>J11*'F.cast Resultat'!K20</f>
        <v>-176684.69857500002</v>
      </c>
      <c r="L28" s="552">
        <f>K11*'F.cast Resultat'!L20</f>
        <v>-185518.93350375004</v>
      </c>
      <c r="M28" s="61"/>
    </row>
    <row r="29" spans="2:13" x14ac:dyDescent="0.2">
      <c r="B29" s="127" t="s">
        <v>92</v>
      </c>
      <c r="C29" s="123">
        <v>-6938</v>
      </c>
      <c r="D29" s="123">
        <v>-8349</v>
      </c>
      <c r="E29" s="123">
        <v>-3225</v>
      </c>
      <c r="F29" s="123">
        <v>-3105</v>
      </c>
      <c r="G29" s="123">
        <v>-17810</v>
      </c>
      <c r="H29" s="552"/>
      <c r="I29" s="552"/>
      <c r="J29" s="552"/>
      <c r="K29" s="552"/>
      <c r="L29" s="552"/>
      <c r="M29" s="61"/>
    </row>
    <row r="30" spans="2:13" x14ac:dyDescent="0.2">
      <c r="B30" s="127" t="s">
        <v>113</v>
      </c>
      <c r="C30" s="123">
        <v>0</v>
      </c>
      <c r="D30" s="123">
        <v>0</v>
      </c>
      <c r="E30" s="123">
        <v>0</v>
      </c>
      <c r="F30" s="123">
        <v>-35263</v>
      </c>
      <c r="G30" s="123">
        <v>-26738</v>
      </c>
      <c r="H30" s="552"/>
      <c r="I30" s="552"/>
      <c r="J30" s="552"/>
      <c r="K30" s="552"/>
      <c r="L30" s="552"/>
      <c r="M30" s="61"/>
    </row>
    <row r="31" spans="2:13" x14ac:dyDescent="0.2">
      <c r="B31" s="128" t="s">
        <v>182</v>
      </c>
      <c r="C31" s="129">
        <f t="shared" ref="C31:H31" si="4">SUM(C21:C30)</f>
        <v>778639</v>
      </c>
      <c r="D31" s="129">
        <f t="shared" si="4"/>
        <v>895807</v>
      </c>
      <c r="E31" s="129">
        <f t="shared" si="4"/>
        <v>1095976</v>
      </c>
      <c r="F31" s="129">
        <f t="shared" si="4"/>
        <v>976455</v>
      </c>
      <c r="G31" s="129">
        <f t="shared" si="4"/>
        <v>890247</v>
      </c>
      <c r="H31" s="354">
        <f t="shared" si="4"/>
        <v>998832.35399999982</v>
      </c>
      <c r="I31" s="354">
        <f t="shared" ref="I31:L31" si="5">SUM(I21:I30)</f>
        <v>1060377.9894000003</v>
      </c>
      <c r="J31" s="354">
        <f t="shared" si="5"/>
        <v>1094228.0888700001</v>
      </c>
      <c r="K31" s="354">
        <f t="shared" si="5"/>
        <v>1129770.6933135001</v>
      </c>
      <c r="L31" s="354">
        <f t="shared" si="5"/>
        <v>1167090.4279791752</v>
      </c>
      <c r="M31" s="61"/>
    </row>
    <row r="32" spans="2:13" x14ac:dyDescent="0.2">
      <c r="B32" s="121" t="s">
        <v>42</v>
      </c>
      <c r="C32" s="123">
        <v>4284011</v>
      </c>
      <c r="D32" s="123">
        <v>4643938</v>
      </c>
      <c r="E32" s="123">
        <v>4306304</v>
      </c>
      <c r="F32" s="123">
        <v>3636663</v>
      </c>
      <c r="G32" s="123">
        <v>3940793</v>
      </c>
      <c r="H32" s="123">
        <f>G12*'F.cast Resultat'!H20</f>
        <v>4208802</v>
      </c>
      <c r="I32" s="123">
        <f>H12*'F.cast Resultat'!I20</f>
        <v>4629682.2000000011</v>
      </c>
      <c r="J32" s="123">
        <f>I12*'F.cast Resultat'!J20</f>
        <v>4861166.3100000015</v>
      </c>
      <c r="K32" s="123">
        <f>J12*'F.cast Resultat'!K20</f>
        <v>5104224.625500001</v>
      </c>
      <c r="L32" s="123">
        <f>K12*'F.cast Resultat'!L20</f>
        <v>5359435.8567750016</v>
      </c>
      <c r="M32" s="61"/>
    </row>
    <row r="33" spans="2:18" x14ac:dyDescent="0.2">
      <c r="B33" s="121" t="s">
        <v>43</v>
      </c>
      <c r="C33" s="123">
        <v>103420</v>
      </c>
      <c r="D33" s="123">
        <v>133832</v>
      </c>
      <c r="E33" s="123">
        <v>215007</v>
      </c>
      <c r="F33" s="123">
        <v>82220</v>
      </c>
      <c r="G33" s="123">
        <v>70466</v>
      </c>
      <c r="H33" s="550">
        <f>G13*'F.cast Resultat'!H20</f>
        <v>226627.80000000002</v>
      </c>
      <c r="I33" s="550">
        <f>H13*'F.cast Resultat'!I20</f>
        <v>249290.58000000005</v>
      </c>
      <c r="J33" s="550">
        <f>I13*'F.cast Resultat'!J20</f>
        <v>261755.10900000008</v>
      </c>
      <c r="K33" s="550">
        <f>J13*'F.cast Resultat'!K20</f>
        <v>274842.86445000005</v>
      </c>
      <c r="L33" s="550">
        <f>K13*'F.cast Resultat'!L20</f>
        <v>288585.0076725001</v>
      </c>
      <c r="M33" s="61"/>
    </row>
    <row r="34" spans="2:18" x14ac:dyDescent="0.2">
      <c r="B34" s="121" t="s">
        <v>44</v>
      </c>
      <c r="C34" s="123">
        <v>189902</v>
      </c>
      <c r="D34" s="123">
        <v>40621</v>
      </c>
      <c r="E34" s="123">
        <v>60199</v>
      </c>
      <c r="F34" s="123">
        <v>51052</v>
      </c>
      <c r="G34" s="123">
        <v>48536</v>
      </c>
      <c r="H34" s="550"/>
      <c r="I34" s="550"/>
      <c r="J34" s="550"/>
      <c r="K34" s="550"/>
      <c r="L34" s="550"/>
      <c r="M34" s="61"/>
    </row>
    <row r="35" spans="2:18" x14ac:dyDescent="0.2">
      <c r="B35" s="127" t="s">
        <v>115</v>
      </c>
      <c r="C35" s="123">
        <v>0</v>
      </c>
      <c r="D35" s="123">
        <v>0</v>
      </c>
      <c r="E35" s="123">
        <v>0</v>
      </c>
      <c r="F35" s="123">
        <v>-7922</v>
      </c>
      <c r="G35" s="123">
        <v>-8524</v>
      </c>
      <c r="H35" s="552">
        <f>G14*'F.cast Resultat'!H20</f>
        <v>-1036012.8</v>
      </c>
      <c r="I35" s="552">
        <f>H14*'F.cast Resultat'!I20</f>
        <v>-1139614.08</v>
      </c>
      <c r="J35" s="552">
        <f>I14*'F.cast Resultat'!J20</f>
        <v>-1196594.7840000002</v>
      </c>
      <c r="K35" s="552">
        <f>J14*'F.cast Resultat'!K20</f>
        <v>-1256424.5232000002</v>
      </c>
      <c r="L35" s="552">
        <f>K14*'F.cast Resultat'!L20</f>
        <v>-1319245.7493600005</v>
      </c>
      <c r="M35" s="120"/>
      <c r="N35" s="137"/>
      <c r="O35" s="137"/>
      <c r="P35" s="137"/>
      <c r="Q35" s="137"/>
      <c r="R35" s="137"/>
    </row>
    <row r="36" spans="2:18" x14ac:dyDescent="0.2">
      <c r="B36" s="127" t="s">
        <v>56</v>
      </c>
      <c r="C36" s="123">
        <v>-219562</v>
      </c>
      <c r="D36" s="123">
        <v>-166479</v>
      </c>
      <c r="E36" s="123">
        <v>-181360</v>
      </c>
      <c r="F36" s="123">
        <v>-167633</v>
      </c>
      <c r="G36" s="123">
        <v>-137495</v>
      </c>
      <c r="H36" s="552"/>
      <c r="I36" s="552"/>
      <c r="J36" s="552"/>
      <c r="K36" s="552"/>
      <c r="L36" s="552"/>
      <c r="M36" s="120"/>
      <c r="N36" s="120"/>
      <c r="O36" s="120"/>
      <c r="P36" s="120"/>
      <c r="Q36" s="120"/>
      <c r="R36" s="120"/>
    </row>
    <row r="37" spans="2:18" x14ac:dyDescent="0.2">
      <c r="B37" s="127" t="s">
        <v>57</v>
      </c>
      <c r="C37" s="123">
        <v>-83343</v>
      </c>
      <c r="D37" s="123">
        <v>-103782</v>
      </c>
      <c r="E37" s="123">
        <v>-158110</v>
      </c>
      <c r="F37" s="123">
        <v>-208488</v>
      </c>
      <c r="G37" s="123">
        <v>-130994</v>
      </c>
      <c r="H37" s="552"/>
      <c r="I37" s="552"/>
      <c r="J37" s="552"/>
      <c r="K37" s="552"/>
      <c r="L37" s="552"/>
      <c r="M37" s="120"/>
      <c r="N37" s="120"/>
      <c r="O37" s="120"/>
      <c r="P37" s="120"/>
      <c r="Q37" s="120"/>
      <c r="R37" s="120"/>
    </row>
    <row r="38" spans="2:18" x14ac:dyDescent="0.2">
      <c r="B38" s="127" t="s">
        <v>58</v>
      </c>
      <c r="C38" s="123">
        <v>-666153</v>
      </c>
      <c r="D38" s="123">
        <v>-853282</v>
      </c>
      <c r="E38" s="123">
        <v>-562331</v>
      </c>
      <c r="F38" s="123">
        <v>-710728</v>
      </c>
      <c r="G38" s="123">
        <v>-651089</v>
      </c>
      <c r="H38" s="552"/>
      <c r="I38" s="552"/>
      <c r="J38" s="552"/>
      <c r="K38" s="552"/>
      <c r="L38" s="552"/>
      <c r="M38" s="120"/>
      <c r="N38" s="120"/>
      <c r="O38" s="120"/>
      <c r="P38" s="120"/>
      <c r="Q38" s="120"/>
      <c r="R38" s="120"/>
    </row>
    <row r="39" spans="2:18" x14ac:dyDescent="0.2">
      <c r="B39" s="131" t="s">
        <v>183</v>
      </c>
      <c r="C39" s="129">
        <f t="shared" ref="C39:H39" si="6">SUM(C32:C38)</f>
        <v>3608275</v>
      </c>
      <c r="D39" s="129">
        <f t="shared" si="6"/>
        <v>3694848</v>
      </c>
      <c r="E39" s="129">
        <f t="shared" si="6"/>
        <v>3679709</v>
      </c>
      <c r="F39" s="129">
        <f t="shared" si="6"/>
        <v>2675164</v>
      </c>
      <c r="G39" s="129">
        <f t="shared" si="6"/>
        <v>3131693</v>
      </c>
      <c r="H39" s="354">
        <f t="shared" si="6"/>
        <v>3399417</v>
      </c>
      <c r="I39" s="354">
        <f t="shared" ref="I39:L39" si="7">SUM(I32:I38)</f>
        <v>3739358.7000000011</v>
      </c>
      <c r="J39" s="354">
        <f t="shared" si="7"/>
        <v>3926326.6350000016</v>
      </c>
      <c r="K39" s="354">
        <f t="shared" si="7"/>
        <v>4122642.9667500011</v>
      </c>
      <c r="L39" s="354">
        <f t="shared" si="7"/>
        <v>4328775.1150875008</v>
      </c>
      <c r="M39" s="120"/>
      <c r="N39" s="120"/>
      <c r="O39" s="120"/>
      <c r="P39" s="120"/>
      <c r="Q39" s="120"/>
      <c r="R39" s="120"/>
    </row>
    <row r="40" spans="2:18" x14ac:dyDescent="0.2">
      <c r="B40" s="61"/>
      <c r="C40" s="61"/>
      <c r="D40" s="61"/>
      <c r="E40" s="61"/>
      <c r="F40" s="61"/>
      <c r="G40" s="61"/>
      <c r="H40" s="61"/>
      <c r="I40" s="61"/>
      <c r="J40" s="61"/>
      <c r="K40" s="61"/>
      <c r="L40" s="61"/>
      <c r="M40" s="120"/>
      <c r="N40" s="120"/>
      <c r="O40" s="120"/>
      <c r="P40" s="120"/>
      <c r="Q40" s="120"/>
      <c r="R40" s="120"/>
    </row>
    <row r="41" spans="2:18" x14ac:dyDescent="0.2">
      <c r="B41" s="132" t="s">
        <v>184</v>
      </c>
      <c r="C41" s="133">
        <f t="shared" ref="C41:H41" si="8">C31+C39</f>
        <v>4386914</v>
      </c>
      <c r="D41" s="133">
        <f t="shared" si="8"/>
        <v>4590655</v>
      </c>
      <c r="E41" s="133">
        <f t="shared" si="8"/>
        <v>4775685</v>
      </c>
      <c r="F41" s="133">
        <f t="shared" si="8"/>
        <v>3651619</v>
      </c>
      <c r="G41" s="133">
        <f t="shared" si="8"/>
        <v>4021940</v>
      </c>
      <c r="H41" s="354">
        <f t="shared" si="8"/>
        <v>4398249.3540000003</v>
      </c>
      <c r="I41" s="354">
        <f t="shared" ref="I41:L41" si="9">I31+I39</f>
        <v>4799736.6894000014</v>
      </c>
      <c r="J41" s="354">
        <f t="shared" si="9"/>
        <v>5020554.7238700017</v>
      </c>
      <c r="K41" s="354">
        <f t="shared" si="9"/>
        <v>5252413.6600635014</v>
      </c>
      <c r="L41" s="354">
        <f t="shared" si="9"/>
        <v>5495865.5430666758</v>
      </c>
      <c r="M41" s="120"/>
      <c r="N41" s="120"/>
      <c r="O41" s="120"/>
      <c r="P41" s="120"/>
      <c r="Q41" s="120"/>
      <c r="R41" s="120"/>
    </row>
    <row r="42" spans="2:18" x14ac:dyDescent="0.2">
      <c r="B42" s="61"/>
      <c r="C42" s="61"/>
      <c r="D42" s="61"/>
      <c r="E42" s="61"/>
      <c r="F42" s="61"/>
      <c r="G42" s="61"/>
      <c r="H42" s="61"/>
      <c r="I42" s="61"/>
      <c r="J42" s="61"/>
      <c r="K42" s="61"/>
      <c r="L42" s="61"/>
      <c r="M42" s="61"/>
    </row>
    <row r="43" spans="2:18" x14ac:dyDescent="0.2">
      <c r="B43" s="549" t="s">
        <v>34</v>
      </c>
      <c r="C43" s="541" t="s">
        <v>302</v>
      </c>
      <c r="D43" s="541"/>
      <c r="E43" s="541"/>
      <c r="F43" s="541"/>
      <c r="G43" s="541"/>
      <c r="H43" s="541" t="s">
        <v>297</v>
      </c>
      <c r="I43" s="541"/>
      <c r="J43" s="541"/>
      <c r="K43" s="541"/>
      <c r="L43" s="334" t="s">
        <v>296</v>
      </c>
      <c r="M43" s="61"/>
    </row>
    <row r="44" spans="2:18" x14ac:dyDescent="0.2">
      <c r="B44" s="549"/>
      <c r="C44" s="355" t="s">
        <v>168</v>
      </c>
      <c r="D44" s="355" t="s">
        <v>166</v>
      </c>
      <c r="E44" s="355" t="s">
        <v>167</v>
      </c>
      <c r="F44" s="356">
        <v>2019</v>
      </c>
      <c r="G44" s="356">
        <v>2020</v>
      </c>
      <c r="H44" s="356">
        <v>2021</v>
      </c>
      <c r="I44" s="356">
        <v>2022</v>
      </c>
      <c r="J44" s="356">
        <v>2023</v>
      </c>
      <c r="K44" s="356">
        <v>2024</v>
      </c>
      <c r="L44" s="356">
        <v>2025</v>
      </c>
      <c r="M44" s="61"/>
    </row>
    <row r="45" spans="2:18" x14ac:dyDescent="0.2">
      <c r="B45" s="121"/>
      <c r="C45" s="124"/>
      <c r="D45" s="124"/>
      <c r="E45" s="124"/>
      <c r="F45" s="121"/>
      <c r="G45" s="121"/>
      <c r="H45" s="61"/>
      <c r="I45" s="61"/>
      <c r="J45" s="61"/>
      <c r="K45" s="61"/>
      <c r="L45" s="61"/>
      <c r="M45" s="61"/>
    </row>
    <row r="46" spans="2:18" x14ac:dyDescent="0.2">
      <c r="B46" s="121" t="s">
        <v>49</v>
      </c>
      <c r="C46" s="123">
        <v>2689857</v>
      </c>
      <c r="D46" s="123">
        <v>2848723</v>
      </c>
      <c r="E46" s="123">
        <v>3106770</v>
      </c>
      <c r="F46" s="123">
        <v>3374218</v>
      </c>
      <c r="G46" s="123">
        <v>2430023</v>
      </c>
      <c r="H46" s="61"/>
      <c r="I46" s="61"/>
      <c r="J46" s="61"/>
      <c r="K46" s="61"/>
      <c r="L46" s="61"/>
      <c r="M46" s="61"/>
    </row>
    <row r="47" spans="2:18" x14ac:dyDescent="0.2">
      <c r="B47" s="121" t="s">
        <v>50</v>
      </c>
      <c r="C47" s="123">
        <v>9315</v>
      </c>
      <c r="D47" s="123">
        <v>9419</v>
      </c>
      <c r="E47" s="123">
        <v>9366</v>
      </c>
      <c r="F47" s="123">
        <v>7866</v>
      </c>
      <c r="G47" s="123">
        <v>7792</v>
      </c>
      <c r="H47" s="61"/>
      <c r="I47" s="61"/>
      <c r="J47" s="61"/>
      <c r="K47" s="61"/>
      <c r="L47" s="61"/>
      <c r="M47" s="61"/>
    </row>
    <row r="48" spans="2:18" x14ac:dyDescent="0.2">
      <c r="B48" s="125" t="s">
        <v>111</v>
      </c>
      <c r="C48" s="126">
        <f>SUM(C46:C47)</f>
        <v>2699172</v>
      </c>
      <c r="D48" s="126">
        <f>SUM(D46:D47)</f>
        <v>2858142</v>
      </c>
      <c r="E48" s="126">
        <f>SUM(E46:E47)</f>
        <v>3116136</v>
      </c>
      <c r="F48" s="126">
        <v>3382084</v>
      </c>
      <c r="G48" s="126">
        <v>2437815</v>
      </c>
      <c r="H48" s="126">
        <f>H59-H57</f>
        <v>2792300.0124000004</v>
      </c>
      <c r="I48" s="126">
        <f t="shared" ref="I48:L48" si="10">I59-I57</f>
        <v>3033192.4136400009</v>
      </c>
      <c r="J48" s="126">
        <f t="shared" si="10"/>
        <v>3165683.2343220012</v>
      </c>
      <c r="K48" s="126">
        <f t="shared" si="10"/>
        <v>3304798.5960381008</v>
      </c>
      <c r="L48" s="126">
        <f t="shared" si="10"/>
        <v>3450869.7258400051</v>
      </c>
      <c r="M48" s="61"/>
    </row>
    <row r="49" spans="2:13" x14ac:dyDescent="0.2">
      <c r="B49" s="120"/>
      <c r="C49" s="120"/>
      <c r="D49" s="120"/>
      <c r="E49" s="120"/>
      <c r="F49" s="120"/>
      <c r="G49" s="120"/>
      <c r="H49" s="61"/>
      <c r="I49" s="61"/>
      <c r="J49" s="61"/>
      <c r="K49" s="61"/>
      <c r="L49" s="61"/>
      <c r="M49" s="61"/>
    </row>
    <row r="50" spans="2:13" x14ac:dyDescent="0.2">
      <c r="B50" s="121" t="s">
        <v>51</v>
      </c>
      <c r="C50" s="135">
        <v>594</v>
      </c>
      <c r="D50" s="135">
        <v>643</v>
      </c>
      <c r="E50" s="135">
        <v>277</v>
      </c>
      <c r="F50" s="135">
        <v>1017</v>
      </c>
      <c r="G50" s="135">
        <v>1030</v>
      </c>
      <c r="H50" s="61"/>
      <c r="I50" s="61"/>
      <c r="J50" s="61"/>
      <c r="K50" s="61"/>
      <c r="L50" s="61"/>
      <c r="M50" s="61"/>
    </row>
    <row r="51" spans="2:13" x14ac:dyDescent="0.2">
      <c r="B51" s="121" t="s">
        <v>53</v>
      </c>
      <c r="C51" s="135">
        <v>2038660</v>
      </c>
      <c r="D51" s="135">
        <v>1836823</v>
      </c>
      <c r="E51" s="135">
        <v>1795798</v>
      </c>
      <c r="F51" s="135">
        <v>1092288</v>
      </c>
      <c r="G51" s="135">
        <v>1100293</v>
      </c>
      <c r="H51" s="61"/>
      <c r="I51" s="61"/>
      <c r="J51" s="61"/>
      <c r="K51" s="61"/>
      <c r="L51" s="61"/>
      <c r="M51" s="61"/>
    </row>
    <row r="52" spans="2:13" x14ac:dyDescent="0.2">
      <c r="B52" s="121" t="s">
        <v>55</v>
      </c>
      <c r="C52" s="135">
        <v>534681</v>
      </c>
      <c r="D52" s="135">
        <v>380608</v>
      </c>
      <c r="E52" s="135">
        <v>520508</v>
      </c>
      <c r="F52" s="135">
        <v>1161043</v>
      </c>
      <c r="G52" s="135">
        <v>674014</v>
      </c>
      <c r="H52" s="61"/>
      <c r="I52" s="61"/>
      <c r="J52" s="61"/>
      <c r="K52" s="61"/>
      <c r="L52" s="61"/>
      <c r="M52" s="61"/>
    </row>
    <row r="53" spans="2:13" x14ac:dyDescent="0.2">
      <c r="B53" s="121" t="s">
        <v>110</v>
      </c>
      <c r="C53" s="135">
        <v>0</v>
      </c>
      <c r="D53" s="135">
        <v>0</v>
      </c>
      <c r="E53" s="135">
        <v>0</v>
      </c>
      <c r="F53" s="135" t="s">
        <v>174</v>
      </c>
      <c r="G53" s="135">
        <v>694121</v>
      </c>
      <c r="H53" s="61"/>
      <c r="I53" s="61"/>
      <c r="J53" s="61"/>
      <c r="K53" s="61"/>
      <c r="L53" s="61"/>
      <c r="M53" s="61"/>
    </row>
    <row r="54" spans="2:13" x14ac:dyDescent="0.2">
      <c r="B54" s="121" t="s">
        <v>150</v>
      </c>
      <c r="C54" s="135">
        <v>0</v>
      </c>
      <c r="D54" s="135">
        <v>0</v>
      </c>
      <c r="E54" s="135">
        <v>0</v>
      </c>
      <c r="F54" s="135">
        <v>58044</v>
      </c>
      <c r="G54" s="135" t="s">
        <v>174</v>
      </c>
      <c r="H54" s="61"/>
      <c r="I54" s="61"/>
      <c r="J54" s="61"/>
      <c r="K54" s="61"/>
      <c r="L54" s="61"/>
      <c r="M54" s="61"/>
    </row>
    <row r="55" spans="2:13" x14ac:dyDescent="0.2">
      <c r="B55" s="127" t="s">
        <v>45</v>
      </c>
      <c r="C55" s="135">
        <v>-886193</v>
      </c>
      <c r="D55" s="135">
        <v>-485561</v>
      </c>
      <c r="E55" s="135">
        <v>-657034</v>
      </c>
      <c r="F55" s="135">
        <v>-1178686</v>
      </c>
      <c r="G55" s="135">
        <v>-885333</v>
      </c>
      <c r="H55" s="135">
        <v>-885333</v>
      </c>
      <c r="I55" s="135">
        <v>-885333</v>
      </c>
      <c r="J55" s="135">
        <v>-885333</v>
      </c>
      <c r="K55" s="135">
        <v>-885333</v>
      </c>
      <c r="L55" s="135">
        <v>-885333</v>
      </c>
      <c r="M55" s="61"/>
    </row>
    <row r="56" spans="2:13" x14ac:dyDescent="0.2">
      <c r="B56" s="127" t="s">
        <v>148</v>
      </c>
      <c r="C56" s="135">
        <v>0</v>
      </c>
      <c r="D56" s="135">
        <v>0</v>
      </c>
      <c r="E56" s="135">
        <v>0</v>
      </c>
      <c r="F56" s="135">
        <v>-864171</v>
      </c>
      <c r="G56" s="135" t="s">
        <v>174</v>
      </c>
      <c r="H56" s="61"/>
      <c r="I56" s="61"/>
      <c r="J56" s="61"/>
      <c r="K56" s="61"/>
      <c r="L56" s="61"/>
      <c r="M56" s="61"/>
    </row>
    <row r="57" spans="2:13" x14ac:dyDescent="0.2">
      <c r="B57" s="130" t="s">
        <v>185</v>
      </c>
      <c r="C57" s="136">
        <f>SUM(C50:C56)</f>
        <v>1687742</v>
      </c>
      <c r="D57" s="136">
        <f>SUM(D50:D56)</f>
        <v>1732513</v>
      </c>
      <c r="E57" s="136">
        <f>SUM(E50:E56)</f>
        <v>1659549</v>
      </c>
      <c r="F57" s="136">
        <f>SUM(F50:F56)</f>
        <v>269535</v>
      </c>
      <c r="G57" s="136">
        <f>SUM(G50:G56)</f>
        <v>1584125</v>
      </c>
      <c r="H57" s="136">
        <f>G15*(H41-H21)</f>
        <v>1605949.3416000002</v>
      </c>
      <c r="I57" s="136">
        <f t="shared" ref="I57:L57" si="11">H15*(I41-I21)</f>
        <v>1766544.2757600006</v>
      </c>
      <c r="J57" s="136">
        <f t="shared" si="11"/>
        <v>1854871.4895480007</v>
      </c>
      <c r="K57" s="136">
        <f t="shared" si="11"/>
        <v>1947615.0640254007</v>
      </c>
      <c r="L57" s="136">
        <f t="shared" si="11"/>
        <v>2044995.8172266704</v>
      </c>
      <c r="M57" s="61"/>
    </row>
    <row r="58" spans="2:13" x14ac:dyDescent="0.2">
      <c r="B58" s="120"/>
      <c r="C58" s="137"/>
      <c r="D58" s="137"/>
      <c r="E58" s="137"/>
      <c r="F58" s="137"/>
      <c r="G58" s="137"/>
      <c r="H58" s="61"/>
      <c r="I58" s="61"/>
      <c r="J58" s="61"/>
      <c r="K58" s="61"/>
      <c r="L58" s="61"/>
      <c r="M58" s="61"/>
    </row>
    <row r="59" spans="2:13" x14ac:dyDescent="0.2">
      <c r="B59" s="134" t="s">
        <v>186</v>
      </c>
      <c r="C59" s="138">
        <f>C48+C57</f>
        <v>4386914</v>
      </c>
      <c r="D59" s="138">
        <f>D48+D57</f>
        <v>4590655</v>
      </c>
      <c r="E59" s="138">
        <f>E48+E57</f>
        <v>4775685</v>
      </c>
      <c r="F59" s="138">
        <f>F48+F57</f>
        <v>3651619</v>
      </c>
      <c r="G59" s="138">
        <f>G48+G57</f>
        <v>4021940</v>
      </c>
      <c r="H59" s="138">
        <f>H41</f>
        <v>4398249.3540000003</v>
      </c>
      <c r="I59" s="138">
        <f t="shared" ref="I59:L59" si="12">I41</f>
        <v>4799736.6894000014</v>
      </c>
      <c r="J59" s="138">
        <f t="shared" si="12"/>
        <v>5020554.7238700017</v>
      </c>
      <c r="K59" s="138">
        <f t="shared" si="12"/>
        <v>5252413.6600635014</v>
      </c>
      <c r="L59" s="138">
        <f t="shared" si="12"/>
        <v>5495865.5430666758</v>
      </c>
      <c r="M59" s="61"/>
    </row>
    <row r="60" spans="2:13" x14ac:dyDescent="0.2">
      <c r="B60" s="61"/>
      <c r="C60" s="61"/>
      <c r="D60" s="61"/>
      <c r="E60" s="61"/>
      <c r="F60" s="61"/>
      <c r="G60" s="61"/>
      <c r="H60" s="61"/>
      <c r="I60" s="61"/>
      <c r="J60" s="61"/>
      <c r="K60" s="61"/>
      <c r="L60" s="61"/>
      <c r="M60" s="61"/>
    </row>
    <row r="61" spans="2:13" x14ac:dyDescent="0.2">
      <c r="B61" s="61"/>
      <c r="C61" s="61"/>
      <c r="D61" s="61"/>
      <c r="E61" s="61"/>
      <c r="F61" s="61"/>
      <c r="G61" s="61"/>
      <c r="H61" s="61"/>
      <c r="I61" s="61"/>
      <c r="J61" s="61"/>
      <c r="K61" s="61"/>
      <c r="L61" s="61"/>
      <c r="M61" s="61"/>
    </row>
    <row r="62" spans="2:13" x14ac:dyDescent="0.2">
      <c r="B62" s="61"/>
      <c r="C62" s="61"/>
      <c r="D62" s="61"/>
      <c r="E62" s="61"/>
      <c r="F62" s="61"/>
      <c r="G62" s="61"/>
      <c r="H62" s="61"/>
      <c r="I62" s="61"/>
      <c r="J62" s="61"/>
      <c r="K62" s="61"/>
      <c r="L62" s="61"/>
      <c r="M62" s="61"/>
    </row>
    <row r="63" spans="2:13" x14ac:dyDescent="0.2">
      <c r="B63" s="61"/>
      <c r="C63" s="61"/>
      <c r="D63" s="61"/>
      <c r="E63" s="61"/>
      <c r="F63" s="61"/>
      <c r="G63" s="61"/>
      <c r="H63" s="61"/>
      <c r="I63" s="61"/>
      <c r="J63" s="61"/>
      <c r="K63" s="61"/>
      <c r="L63" s="61"/>
      <c r="M63" s="61"/>
    </row>
    <row r="64" spans="2:13" x14ac:dyDescent="0.2">
      <c r="B64" s="61"/>
      <c r="C64" s="61"/>
      <c r="D64" s="61"/>
      <c r="E64" s="61"/>
      <c r="F64" s="61"/>
      <c r="G64" s="61"/>
      <c r="H64" s="61"/>
      <c r="I64" s="61"/>
      <c r="J64" s="61"/>
      <c r="K64" s="61"/>
      <c r="L64" s="61"/>
      <c r="M64" s="61"/>
    </row>
  </sheetData>
  <mergeCells count="29">
    <mergeCell ref="L35:L38"/>
    <mergeCell ref="C2:F2"/>
    <mergeCell ref="G2:J2"/>
    <mergeCell ref="H33:H34"/>
    <mergeCell ref="I33:I34"/>
    <mergeCell ref="J33:J34"/>
    <mergeCell ref="L33:L34"/>
    <mergeCell ref="H25:H26"/>
    <mergeCell ref="I25:I26"/>
    <mergeCell ref="J25:J26"/>
    <mergeCell ref="K25:K26"/>
    <mergeCell ref="L25:L26"/>
    <mergeCell ref="H28:H30"/>
    <mergeCell ref="I28:I30"/>
    <mergeCell ref="J28:J30"/>
    <mergeCell ref="K28:K30"/>
    <mergeCell ref="L28:L30"/>
    <mergeCell ref="B3:B4"/>
    <mergeCell ref="H18:K18"/>
    <mergeCell ref="C18:G18"/>
    <mergeCell ref="B18:B19"/>
    <mergeCell ref="B43:B44"/>
    <mergeCell ref="C43:G43"/>
    <mergeCell ref="H43:K43"/>
    <mergeCell ref="K33:K34"/>
    <mergeCell ref="H35:H38"/>
    <mergeCell ref="I35:I38"/>
    <mergeCell ref="J35:J38"/>
    <mergeCell ref="K35:K3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DEF5A-CADB-7F4F-AE1D-46912F84AB52}">
  <dimension ref="A1:AI111"/>
  <sheetViews>
    <sheetView topLeftCell="E66" zoomScale="130" zoomScaleNormal="130" workbookViewId="0">
      <selection activeCell="AD6" sqref="AD6"/>
    </sheetView>
  </sheetViews>
  <sheetFormatPr baseColWidth="10" defaultRowHeight="16" x14ac:dyDescent="0.2"/>
  <cols>
    <col min="1" max="1" width="3.83203125" customWidth="1"/>
    <col min="2" max="2" width="62.6640625" customWidth="1"/>
    <col min="3" max="6" width="11" customWidth="1"/>
    <col min="7" max="7" width="9.33203125" bestFit="1" customWidth="1"/>
    <col min="8" max="8" width="14.1640625" customWidth="1"/>
    <col min="9" max="9" width="10.83203125" customWidth="1"/>
    <col min="10" max="10" width="24.5" customWidth="1"/>
    <col min="12" max="12" width="13.6640625" bestFit="1" customWidth="1"/>
    <col min="15" max="15" width="20.83203125" customWidth="1"/>
    <col min="16" max="16" width="21.1640625" bestFit="1" customWidth="1"/>
    <col min="17" max="20" width="8.33203125" customWidth="1"/>
    <col min="29" max="29" width="13.33203125" customWidth="1"/>
    <col min="30" max="34" width="8.6640625" customWidth="1"/>
  </cols>
  <sheetData>
    <row r="1" spans="1:35" x14ac:dyDescent="0.2">
      <c r="A1" s="105"/>
      <c r="B1" s="143" t="s">
        <v>192</v>
      </c>
      <c r="C1" s="105"/>
      <c r="D1" s="105"/>
      <c r="E1" s="105"/>
      <c r="F1" s="105"/>
      <c r="G1" s="105"/>
      <c r="H1" s="105"/>
      <c r="I1" s="105"/>
      <c r="J1" s="105"/>
      <c r="K1" s="105"/>
      <c r="L1" s="105"/>
      <c r="M1" s="105"/>
      <c r="N1" s="105"/>
      <c r="O1" s="105"/>
      <c r="P1" s="105"/>
    </row>
    <row r="2" spans="1:35" x14ac:dyDescent="0.2">
      <c r="I2" s="61"/>
      <c r="J2" s="61"/>
      <c r="K2" s="61"/>
      <c r="L2" s="61"/>
      <c r="M2" s="61"/>
      <c r="N2" s="61"/>
    </row>
    <row r="3" spans="1:35" x14ac:dyDescent="0.2">
      <c r="B3" s="203"/>
      <c r="C3" s="300">
        <v>2016</v>
      </c>
      <c r="D3" s="300">
        <v>2017</v>
      </c>
      <c r="E3" s="300">
        <v>2018</v>
      </c>
      <c r="F3" s="300">
        <v>2019</v>
      </c>
      <c r="G3" s="301" t="s">
        <v>267</v>
      </c>
      <c r="H3" s="296" t="s">
        <v>268</v>
      </c>
      <c r="I3" s="61"/>
      <c r="J3" s="119"/>
      <c r="K3" s="119">
        <v>2017</v>
      </c>
      <c r="L3" s="150">
        <v>2018</v>
      </c>
      <c r="M3" s="150">
        <v>2019</v>
      </c>
      <c r="N3" s="150">
        <v>2020</v>
      </c>
      <c r="O3" s="61"/>
      <c r="P3" s="119"/>
      <c r="Q3" s="119">
        <v>2017</v>
      </c>
      <c r="R3" s="150">
        <v>2018</v>
      </c>
      <c r="S3" s="150">
        <v>2019</v>
      </c>
      <c r="T3" s="150">
        <v>2020</v>
      </c>
      <c r="AB3" s="61"/>
      <c r="AC3" s="61"/>
      <c r="AD3" s="61"/>
      <c r="AE3" s="61"/>
      <c r="AF3" s="61"/>
      <c r="AG3" s="61"/>
      <c r="AH3" s="61"/>
      <c r="AI3" s="61"/>
    </row>
    <row r="4" spans="1:35" x14ac:dyDescent="0.2">
      <c r="B4" s="198" t="s">
        <v>126</v>
      </c>
      <c r="C4" s="146">
        <f>Resultatny!J17</f>
        <v>298942.65000000002</v>
      </c>
      <c r="D4" s="146">
        <f>Resultatny!K17</f>
        <v>432870.39600000001</v>
      </c>
      <c r="E4" s="146">
        <f>Resultatny!L17</f>
        <v>580783.74</v>
      </c>
      <c r="F4" s="146">
        <f>Resultatny!M17</f>
        <v>662740.30799999996</v>
      </c>
      <c r="G4" s="225">
        <f>Resultatny!N17</f>
        <v>476417.35</v>
      </c>
      <c r="H4" s="297">
        <f>Resultatny!O17</f>
        <v>552110.56799999997</v>
      </c>
      <c r="I4" s="61"/>
      <c r="J4" t="str">
        <f>B8</f>
        <v>ROIC (after tax)</v>
      </c>
      <c r="K4" s="152">
        <f>D8</f>
        <v>9.6433766423850376E-2</v>
      </c>
      <c r="L4" s="152">
        <f>E8</f>
        <v>0.12401508807068716</v>
      </c>
      <c r="M4" s="152">
        <f>F8</f>
        <v>0.15728406332559025</v>
      </c>
      <c r="N4" s="152">
        <f>G8</f>
        <v>0.12417115708630115</v>
      </c>
      <c r="O4" s="61"/>
      <c r="P4" t="s">
        <v>214</v>
      </c>
      <c r="Q4" s="152">
        <f>K7</f>
        <v>0.11939199999999998</v>
      </c>
      <c r="R4" s="152">
        <f>L7</f>
        <v>0.11982399999999999</v>
      </c>
      <c r="S4" s="152">
        <f>M7</f>
        <v>0.11912199999999998</v>
      </c>
      <c r="T4" s="152">
        <f>N7</f>
        <v>0.11791599999999997</v>
      </c>
      <c r="AB4" s="61"/>
      <c r="AC4" s="203" t="s">
        <v>398</v>
      </c>
      <c r="AD4" s="491" t="s">
        <v>399</v>
      </c>
      <c r="AE4" s="491" t="s">
        <v>400</v>
      </c>
      <c r="AF4" s="491" t="s">
        <v>401</v>
      </c>
      <c r="AG4" s="491" t="s">
        <v>402</v>
      </c>
      <c r="AH4" s="492" t="s">
        <v>264</v>
      </c>
      <c r="AI4" s="61"/>
    </row>
    <row r="5" spans="1:35" x14ac:dyDescent="0.2">
      <c r="B5" s="198" t="s">
        <v>184</v>
      </c>
      <c r="C5" s="146">
        <f>Balanseny!C110</f>
        <v>4386914</v>
      </c>
      <c r="D5" s="146">
        <f>Balanseny!D110</f>
        <v>4590655</v>
      </c>
      <c r="E5" s="146">
        <f>Balanseny!E110</f>
        <v>4775685</v>
      </c>
      <c r="F5" s="146">
        <f>Balanseny!F110</f>
        <v>3651619</v>
      </c>
      <c r="G5" s="225">
        <f>Balanseny!G110</f>
        <v>4021940</v>
      </c>
      <c r="H5" s="297">
        <f>G5</f>
        <v>4021940</v>
      </c>
      <c r="I5" s="61"/>
      <c r="J5" t="s">
        <v>213</v>
      </c>
      <c r="K5" s="152">
        <f>C32</f>
        <v>8.2269995352546782E-2</v>
      </c>
      <c r="L5" s="152">
        <f>D32</f>
        <v>8.6427638838367973E-2</v>
      </c>
      <c r="M5" s="152">
        <f>E32</f>
        <v>0.11740415967343004</v>
      </c>
      <c r="N5" s="152">
        <f>F32</f>
        <v>9.2286237242118388E-2</v>
      </c>
      <c r="O5" s="61"/>
      <c r="P5" t="s">
        <v>187</v>
      </c>
      <c r="Q5" s="146">
        <f>Balanseny!K92</f>
        <v>2858142</v>
      </c>
      <c r="R5" s="146">
        <f>Balanseny!L92</f>
        <v>3116136</v>
      </c>
      <c r="S5" s="146">
        <f>Balanseny!M92</f>
        <v>3382084</v>
      </c>
      <c r="T5" s="146">
        <f>Balanseny!N92</f>
        <v>2437815</v>
      </c>
      <c r="AB5" s="61"/>
      <c r="AC5" s="234" t="s">
        <v>403</v>
      </c>
      <c r="AD5" s="455">
        <v>3.55</v>
      </c>
      <c r="AE5" s="455">
        <v>13.44</v>
      </c>
      <c r="AF5" s="455">
        <v>31.66</v>
      </c>
      <c r="AG5" s="455">
        <v>11.7</v>
      </c>
      <c r="AH5" s="493">
        <v>15.08</v>
      </c>
      <c r="AI5" s="61"/>
    </row>
    <row r="6" spans="1:35" x14ac:dyDescent="0.2">
      <c r="B6" s="198" t="s">
        <v>194</v>
      </c>
      <c r="C6" s="146"/>
      <c r="D6" s="146">
        <f>C5</f>
        <v>4386914</v>
      </c>
      <c r="E6" s="146">
        <f>D5</f>
        <v>4590655</v>
      </c>
      <c r="F6" s="146">
        <f>E5</f>
        <v>4775685</v>
      </c>
      <c r="G6" s="225">
        <f>F5</f>
        <v>3651619</v>
      </c>
      <c r="H6" s="297">
        <f>G6</f>
        <v>3651619</v>
      </c>
      <c r="I6" s="61"/>
      <c r="J6" s="61" t="s">
        <v>198</v>
      </c>
      <c r="K6" s="72">
        <f>D40</f>
        <v>2.0014857031375812E-2</v>
      </c>
      <c r="L6" s="72">
        <f>E40</f>
        <v>1.3823635216555823E-2</v>
      </c>
      <c r="M6" s="72">
        <f>F40</f>
        <v>9.4032314912720058E-2</v>
      </c>
      <c r="N6" s="72">
        <f>G40</f>
        <v>6.0159393987216916E-3</v>
      </c>
      <c r="O6" s="61"/>
      <c r="P6" t="s">
        <v>185</v>
      </c>
      <c r="Q6" s="146">
        <f>Balanseny!K101</f>
        <v>1732513</v>
      </c>
      <c r="R6" s="146">
        <f>Balanseny!L101</f>
        <v>1659549</v>
      </c>
      <c r="S6" s="146">
        <f>Balanseny!M101</f>
        <v>269535</v>
      </c>
      <c r="T6" s="146">
        <f>Balanseny!N101</f>
        <v>1584125</v>
      </c>
      <c r="AB6" s="61"/>
      <c r="AC6" s="232" t="s">
        <v>404</v>
      </c>
      <c r="AD6" s="494">
        <v>2.2200000000000002</v>
      </c>
      <c r="AE6" s="494">
        <v>1.52</v>
      </c>
      <c r="AF6" s="494">
        <v>2.63</v>
      </c>
      <c r="AG6" s="494">
        <v>0.73</v>
      </c>
      <c r="AH6" s="495">
        <v>1.77</v>
      </c>
      <c r="AI6" s="61"/>
    </row>
    <row r="7" spans="1:35" ht="16" customHeight="1" x14ac:dyDescent="0.2">
      <c r="B7" s="198" t="s">
        <v>195</v>
      </c>
      <c r="C7" s="146"/>
      <c r="D7" s="146">
        <f>(D5+D6)/2</f>
        <v>4488784.5</v>
      </c>
      <c r="E7" s="146">
        <f>(E5+E6)/2</f>
        <v>4683170</v>
      </c>
      <c r="F7" s="146">
        <f>(F5+F6)/2</f>
        <v>4213652</v>
      </c>
      <c r="G7" s="225">
        <f>(G5+G6)/2</f>
        <v>3836779.5</v>
      </c>
      <c r="H7" s="297">
        <f>G7</f>
        <v>3836779.5</v>
      </c>
      <c r="J7" t="s">
        <v>199</v>
      </c>
      <c r="K7" s="152">
        <f>C23</f>
        <v>0.11939199999999998</v>
      </c>
      <c r="L7" s="152">
        <f>D23</f>
        <v>0.11982399999999999</v>
      </c>
      <c r="M7" s="152">
        <f>E23</f>
        <v>0.11912199999999998</v>
      </c>
      <c r="N7" s="152">
        <f>F23</f>
        <v>0.11791599999999997</v>
      </c>
      <c r="P7" s="554" t="s">
        <v>215</v>
      </c>
      <c r="Q7" s="554"/>
      <c r="R7" s="554"/>
      <c r="S7" s="554"/>
      <c r="T7" s="554"/>
      <c r="U7" s="61"/>
      <c r="V7" s="61"/>
      <c r="W7" s="61"/>
      <c r="X7" s="61"/>
      <c r="Y7" s="61"/>
      <c r="Z7" s="61"/>
      <c r="AA7" s="61"/>
      <c r="AB7" s="61"/>
      <c r="AC7" s="236" t="s">
        <v>405</v>
      </c>
      <c r="AD7" s="496">
        <v>2</v>
      </c>
      <c r="AE7" s="496">
        <v>14.22</v>
      </c>
      <c r="AF7" s="496">
        <v>0.4</v>
      </c>
      <c r="AG7" s="496">
        <v>5.13</v>
      </c>
      <c r="AH7" s="497">
        <f t="shared" ref="AH7" si="0">AVERAGE(AD7:AG7)</f>
        <v>5.4374999999999991</v>
      </c>
      <c r="AI7" s="61"/>
    </row>
    <row r="8" spans="1:35" x14ac:dyDescent="0.2">
      <c r="B8" s="302" t="s">
        <v>230</v>
      </c>
      <c r="C8" s="303"/>
      <c r="D8" s="304">
        <f>D4/D7</f>
        <v>9.6433766423850376E-2</v>
      </c>
      <c r="E8" s="304">
        <f>E4/E7</f>
        <v>0.12401508807068716</v>
      </c>
      <c r="F8" s="304">
        <f>F4/F7</f>
        <v>0.15728406332559025</v>
      </c>
      <c r="G8" s="305">
        <f>G4/G7</f>
        <v>0.12417115708630115</v>
      </c>
      <c r="H8" s="298">
        <f>H4/H7</f>
        <v>0.14389947819518947</v>
      </c>
      <c r="I8" s="148"/>
      <c r="P8" s="554"/>
      <c r="Q8" s="554"/>
      <c r="R8" s="554"/>
      <c r="S8" s="554"/>
      <c r="T8" s="554"/>
      <c r="U8" s="61"/>
      <c r="V8" s="61"/>
      <c r="W8" s="61"/>
      <c r="X8" s="61"/>
      <c r="Y8" s="61"/>
      <c r="Z8" s="61"/>
      <c r="AA8" s="61"/>
      <c r="AB8" s="61"/>
      <c r="AC8" s="61"/>
      <c r="AD8" s="61"/>
      <c r="AE8" s="61"/>
      <c r="AF8" s="61"/>
      <c r="AG8" s="61"/>
      <c r="AH8" s="61"/>
      <c r="AI8" s="61"/>
    </row>
    <row r="9" spans="1:35" x14ac:dyDescent="0.2">
      <c r="B9" s="302"/>
      <c r="C9" s="303"/>
      <c r="D9" s="304"/>
      <c r="E9" s="304"/>
      <c r="F9" s="304"/>
      <c r="G9" s="305"/>
      <c r="H9" s="298"/>
      <c r="I9" s="148"/>
      <c r="J9" t="s">
        <v>230</v>
      </c>
      <c r="P9" s="554"/>
      <c r="Q9" s="554"/>
      <c r="R9" s="554"/>
      <c r="S9" s="554"/>
      <c r="T9" s="554"/>
      <c r="U9" s="61"/>
      <c r="V9" s="61"/>
      <c r="W9" s="61"/>
      <c r="X9" s="61"/>
      <c r="Y9" s="61"/>
      <c r="Z9" s="61"/>
      <c r="AA9" s="61"/>
      <c r="AB9" s="61"/>
      <c r="AC9" s="61"/>
      <c r="AD9" s="61"/>
      <c r="AE9" s="61"/>
      <c r="AF9" s="61"/>
      <c r="AG9" s="61"/>
      <c r="AH9" s="61"/>
      <c r="AI9" s="61"/>
    </row>
    <row r="10" spans="1:35" x14ac:dyDescent="0.2">
      <c r="B10" s="198" t="s">
        <v>126</v>
      </c>
      <c r="C10" s="146">
        <f>C4</f>
        <v>298942.65000000002</v>
      </c>
      <c r="D10" s="146">
        <f t="shared" ref="D10:H10" si="1">D4</f>
        <v>432870.39600000001</v>
      </c>
      <c r="E10" s="146">
        <f t="shared" si="1"/>
        <v>580783.74</v>
      </c>
      <c r="F10" s="146">
        <f t="shared" si="1"/>
        <v>662740.30799999996</v>
      </c>
      <c r="G10" s="225">
        <f t="shared" si="1"/>
        <v>476417.35</v>
      </c>
      <c r="H10" s="297">
        <f t="shared" si="1"/>
        <v>552110.56799999997</v>
      </c>
      <c r="I10" s="148"/>
      <c r="P10" s="197"/>
      <c r="Q10" s="197"/>
      <c r="R10" s="197"/>
      <c r="S10" s="197"/>
      <c r="T10" s="197"/>
      <c r="U10" s="61"/>
      <c r="V10" s="61"/>
      <c r="W10" s="61"/>
      <c r="X10" s="61"/>
      <c r="Y10" s="61"/>
      <c r="Z10" s="61"/>
      <c r="AA10" s="61"/>
      <c r="AB10" s="61"/>
      <c r="AC10" s="61"/>
      <c r="AD10" s="61"/>
      <c r="AE10" s="61"/>
      <c r="AF10" s="61"/>
      <c r="AG10" s="61"/>
      <c r="AH10" s="61"/>
      <c r="AI10" s="61"/>
    </row>
    <row r="11" spans="1:35" x14ac:dyDescent="0.2">
      <c r="B11" s="198" t="s">
        <v>226</v>
      </c>
      <c r="C11" s="146"/>
      <c r="D11" s="146">
        <f>C27</f>
        <v>4843513</v>
      </c>
      <c r="E11" s="146">
        <f>D27</f>
        <v>5418549</v>
      </c>
      <c r="F11" s="146">
        <f>E27</f>
        <v>7182535</v>
      </c>
      <c r="G11" s="225">
        <f>F27</f>
        <v>6998125</v>
      </c>
      <c r="H11" s="297">
        <f>G11</f>
        <v>6998125</v>
      </c>
      <c r="I11" s="148"/>
      <c r="P11" s="197"/>
      <c r="Q11" s="197"/>
      <c r="R11" s="197"/>
      <c r="S11" s="197"/>
      <c r="T11" s="197"/>
      <c r="U11" s="61"/>
      <c r="V11" s="61"/>
      <c r="W11" s="61"/>
      <c r="X11" s="61"/>
      <c r="Y11" s="61"/>
      <c r="Z11" s="61"/>
      <c r="AA11" s="61"/>
      <c r="AB11" s="61"/>
      <c r="AC11" s="203"/>
      <c r="AD11" s="491" t="s">
        <v>400</v>
      </c>
      <c r="AE11" s="491" t="s">
        <v>401</v>
      </c>
      <c r="AF11" s="491" t="s">
        <v>402</v>
      </c>
      <c r="AG11" s="492" t="s">
        <v>264</v>
      </c>
      <c r="AH11" s="61"/>
      <c r="AI11" s="61"/>
    </row>
    <row r="12" spans="1:35" x14ac:dyDescent="0.2">
      <c r="B12" s="198" t="s">
        <v>227</v>
      </c>
      <c r="C12" s="146"/>
      <c r="D12" s="146">
        <f>Balanseny!C110</f>
        <v>4386914</v>
      </c>
      <c r="E12" s="146">
        <f>D11</f>
        <v>4843513</v>
      </c>
      <c r="F12" s="146">
        <f>E11</f>
        <v>5418549</v>
      </c>
      <c r="G12" s="225">
        <f>F11</f>
        <v>7182535</v>
      </c>
      <c r="H12" s="297">
        <f>G12</f>
        <v>7182535</v>
      </c>
      <c r="I12" s="148"/>
      <c r="P12" s="197"/>
      <c r="Q12" s="197"/>
      <c r="R12" s="197"/>
      <c r="S12" s="197"/>
      <c r="T12" s="197"/>
      <c r="U12" s="61"/>
      <c r="V12" s="61"/>
      <c r="W12" s="61"/>
      <c r="X12" s="61"/>
      <c r="Y12" s="61"/>
      <c r="Z12" s="61"/>
      <c r="AA12" s="61"/>
      <c r="AB12" s="61"/>
      <c r="AC12" s="236" t="s">
        <v>407</v>
      </c>
      <c r="AD12" s="496">
        <v>25.19</v>
      </c>
      <c r="AE12" s="496">
        <v>4.47</v>
      </c>
      <c r="AF12" s="496">
        <v>14.8</v>
      </c>
      <c r="AG12" s="497">
        <f>AVERAGE(AD12:AF12)</f>
        <v>14.82</v>
      </c>
      <c r="AH12" s="61"/>
      <c r="AI12" s="61"/>
    </row>
    <row r="13" spans="1:35" x14ac:dyDescent="0.2">
      <c r="B13" s="198" t="s">
        <v>195</v>
      </c>
      <c r="C13" s="146"/>
      <c r="D13" s="146">
        <f>(D11+D12)/2</f>
        <v>4615213.5</v>
      </c>
      <c r="E13" s="146">
        <f>(E11+E12)/2</f>
        <v>5131031</v>
      </c>
      <c r="F13" s="146">
        <f>(F11+F12)/2</f>
        <v>6300542</v>
      </c>
      <c r="G13" s="225">
        <f>(G11+G12)/2</f>
        <v>7090330</v>
      </c>
      <c r="H13" s="297">
        <f>G13</f>
        <v>7090330</v>
      </c>
      <c r="I13" s="148"/>
      <c r="J13" s="61"/>
      <c r="K13" s="61"/>
      <c r="L13" s="61"/>
      <c r="M13" s="61"/>
      <c r="N13" s="61"/>
      <c r="O13" s="61"/>
      <c r="P13" s="197"/>
      <c r="Q13" s="197"/>
      <c r="R13" s="197"/>
      <c r="S13" s="197"/>
      <c r="T13" s="197"/>
      <c r="U13" s="61"/>
      <c r="V13" s="61"/>
      <c r="W13" s="61"/>
      <c r="X13" s="61"/>
      <c r="Y13" s="61"/>
      <c r="Z13" s="61"/>
      <c r="AA13" s="61"/>
      <c r="AB13" s="61"/>
      <c r="AC13" s="61"/>
      <c r="AD13" s="61"/>
      <c r="AE13" s="61"/>
      <c r="AF13" s="61"/>
      <c r="AG13" s="61"/>
      <c r="AH13" s="61"/>
      <c r="AI13" s="61"/>
    </row>
    <row r="14" spans="1:35" x14ac:dyDescent="0.2">
      <c r="B14" s="306" t="s">
        <v>251</v>
      </c>
      <c r="C14" s="307"/>
      <c r="D14" s="308">
        <f>D4/D13</f>
        <v>9.3792063140740942E-2</v>
      </c>
      <c r="E14" s="308">
        <f>E4/E13</f>
        <v>0.11319045626502744</v>
      </c>
      <c r="F14" s="308">
        <f>F4/F13</f>
        <v>0.10518782479348601</v>
      </c>
      <c r="G14" s="309">
        <f>G4/G13</f>
        <v>6.7192549571035473E-2</v>
      </c>
      <c r="H14" s="299">
        <f>H4/H13</f>
        <v>7.7868105997887266E-2</v>
      </c>
      <c r="I14" s="148"/>
      <c r="J14" s="61"/>
      <c r="K14" s="61"/>
      <c r="L14" s="61"/>
      <c r="M14" s="61"/>
      <c r="N14" s="61"/>
      <c r="O14" s="61"/>
      <c r="P14" s="283"/>
      <c r="Q14" s="197"/>
      <c r="R14" s="197"/>
      <c r="S14" s="197"/>
      <c r="T14" s="197"/>
      <c r="U14" s="61"/>
      <c r="V14" s="61"/>
      <c r="W14" s="61"/>
      <c r="X14" s="61"/>
      <c r="Y14" s="61"/>
      <c r="Z14" s="61"/>
      <c r="AA14" s="61"/>
      <c r="AB14" s="61"/>
      <c r="AC14" s="61"/>
      <c r="AD14" s="61"/>
      <c r="AE14" s="61"/>
      <c r="AF14" s="61"/>
      <c r="AG14" s="61"/>
      <c r="AH14" s="61"/>
      <c r="AI14" s="61"/>
    </row>
    <row r="15" spans="1:35" x14ac:dyDescent="0.2">
      <c r="B15" s="9"/>
      <c r="C15" s="155"/>
      <c r="D15" s="149"/>
      <c r="E15" s="149"/>
      <c r="F15" s="149"/>
      <c r="G15" s="149"/>
      <c r="H15" s="149"/>
      <c r="I15" s="276"/>
      <c r="J15" s="61"/>
      <c r="K15" s="61"/>
      <c r="L15" s="61"/>
      <c r="M15" s="61"/>
      <c r="N15" s="61"/>
      <c r="O15" s="61"/>
      <c r="P15" s="283"/>
      <c r="Q15" s="197"/>
      <c r="R15" s="197"/>
      <c r="S15" s="197"/>
      <c r="T15" s="197"/>
      <c r="U15" s="61"/>
      <c r="V15" s="61"/>
      <c r="W15" s="61"/>
      <c r="X15" s="61"/>
      <c r="Y15" s="61"/>
      <c r="Z15" s="61"/>
      <c r="AA15" s="61"/>
      <c r="AB15" s="61"/>
      <c r="AC15" s="61"/>
      <c r="AD15" s="61"/>
      <c r="AE15" s="61"/>
      <c r="AF15" s="61"/>
      <c r="AG15" s="61"/>
      <c r="AH15" s="61"/>
      <c r="AI15" s="61"/>
    </row>
    <row r="16" spans="1:35" x14ac:dyDescent="0.2">
      <c r="A16" s="61"/>
      <c r="B16" s="280"/>
      <c r="C16" s="489"/>
      <c r="D16" s="482"/>
      <c r="E16" s="482"/>
      <c r="F16" s="482"/>
      <c r="G16" s="482"/>
      <c r="H16" s="149"/>
      <c r="I16" s="280"/>
      <c r="J16" s="323"/>
      <c r="K16" s="324">
        <v>2017</v>
      </c>
      <c r="L16" s="324">
        <v>2018</v>
      </c>
      <c r="M16" s="324">
        <v>2019</v>
      </c>
      <c r="N16" s="324">
        <v>2020</v>
      </c>
      <c r="O16" s="325" t="s">
        <v>283</v>
      </c>
      <c r="P16" s="283"/>
      <c r="Q16" s="197"/>
      <c r="R16" s="197"/>
      <c r="S16" s="197"/>
      <c r="T16" s="197"/>
      <c r="U16" s="61"/>
      <c r="V16" s="61"/>
      <c r="W16" s="61"/>
      <c r="X16" s="61"/>
      <c r="Y16" s="61"/>
      <c r="Z16" s="61"/>
      <c r="AA16" s="61"/>
      <c r="AB16" s="61"/>
    </row>
    <row r="17" spans="1:28" x14ac:dyDescent="0.2">
      <c r="A17" s="61"/>
      <c r="B17" s="280"/>
      <c r="C17" s="489"/>
      <c r="D17" s="489"/>
      <c r="E17" s="489"/>
      <c r="F17" s="489"/>
      <c r="G17" s="490"/>
      <c r="H17" s="158"/>
      <c r="I17" s="61"/>
      <c r="J17" s="281" t="str">
        <f>B8</f>
        <v>ROIC (after tax)</v>
      </c>
      <c r="K17" s="190">
        <f>D8</f>
        <v>9.6433766423850376E-2</v>
      </c>
      <c r="L17" s="190">
        <f>E8</f>
        <v>0.12401508807068716</v>
      </c>
      <c r="M17" s="190">
        <f>F8</f>
        <v>0.15728406332559025</v>
      </c>
      <c r="N17" s="190">
        <f>G8</f>
        <v>0.12417115708630115</v>
      </c>
      <c r="O17" s="282"/>
      <c r="P17" s="283"/>
      <c r="Q17" s="197"/>
      <c r="R17" s="197"/>
      <c r="S17" s="197"/>
      <c r="T17" s="197"/>
      <c r="U17" s="61"/>
      <c r="V17" s="61"/>
      <c r="W17" s="61"/>
      <c r="X17" s="61"/>
      <c r="Y17" s="61"/>
      <c r="Z17" s="61"/>
      <c r="AA17" s="61"/>
      <c r="AB17" s="61"/>
    </row>
    <row r="18" spans="1:28" x14ac:dyDescent="0.2">
      <c r="A18" s="61"/>
      <c r="B18" s="203"/>
      <c r="C18" s="204">
        <v>2017</v>
      </c>
      <c r="D18" s="204">
        <v>2018</v>
      </c>
      <c r="E18" s="204">
        <v>2019</v>
      </c>
      <c r="F18" s="205">
        <v>2020</v>
      </c>
      <c r="G18" s="61"/>
      <c r="H18" s="150"/>
      <c r="I18" s="61"/>
      <c r="J18" s="232" t="s">
        <v>196</v>
      </c>
      <c r="K18" s="91">
        <f>C32</f>
        <v>8.2269995352546782E-2</v>
      </c>
      <c r="L18" s="91">
        <f>D32</f>
        <v>8.6427638838367973E-2</v>
      </c>
      <c r="M18" s="91">
        <f>E32</f>
        <v>0.11740415967343004</v>
      </c>
      <c r="N18" s="91">
        <f>F32</f>
        <v>9.2286237242118388E-2</v>
      </c>
      <c r="O18" s="322"/>
      <c r="P18" s="283"/>
      <c r="Q18" s="197"/>
      <c r="R18" s="197"/>
      <c r="S18" s="197"/>
      <c r="T18" s="197"/>
      <c r="U18" s="61"/>
      <c r="V18" s="61"/>
      <c r="W18" s="61"/>
      <c r="X18" s="61"/>
      <c r="Y18" s="61"/>
      <c r="Z18" s="61"/>
      <c r="AA18" s="61"/>
      <c r="AB18" s="61"/>
    </row>
    <row r="19" spans="1:28" x14ac:dyDescent="0.2">
      <c r="A19" s="61"/>
      <c r="B19" s="234" t="s">
        <v>394</v>
      </c>
      <c r="C19" s="190">
        <v>1.6400000000000001E-2</v>
      </c>
      <c r="D19" s="190">
        <v>1.8800000000000001E-2</v>
      </c>
      <c r="E19" s="190">
        <v>1.49E-2</v>
      </c>
      <c r="F19" s="282">
        <v>8.2000000000000007E-3</v>
      </c>
      <c r="G19" s="61"/>
      <c r="H19" s="148"/>
      <c r="I19" s="61"/>
      <c r="J19" s="234" t="s">
        <v>225</v>
      </c>
      <c r="K19" s="202">
        <f>D46</f>
        <v>63578.116046415962</v>
      </c>
      <c r="L19" s="202">
        <f>E46</f>
        <v>176028.41462132023</v>
      </c>
      <c r="M19" s="202">
        <f>F46</f>
        <v>168040.03578373216</v>
      </c>
      <c r="N19" s="202">
        <f>G46</f>
        <v>122335.40681730362</v>
      </c>
      <c r="O19" s="282"/>
      <c r="P19" s="283"/>
      <c r="Q19" s="197"/>
      <c r="R19" s="197"/>
      <c r="S19" s="197"/>
      <c r="T19" s="197"/>
      <c r="U19" s="61"/>
      <c r="V19" s="61"/>
      <c r="W19" s="61"/>
      <c r="X19" s="61"/>
      <c r="Y19" s="61"/>
      <c r="Z19" s="61"/>
      <c r="AA19" s="61"/>
      <c r="AB19" s="61"/>
    </row>
    <row r="20" spans="1:28" x14ac:dyDescent="0.2">
      <c r="A20" s="61"/>
      <c r="B20" s="232" t="s">
        <v>202</v>
      </c>
      <c r="C20" s="486">
        <v>0.82</v>
      </c>
      <c r="D20" s="486">
        <v>0.82</v>
      </c>
      <c r="E20" s="486">
        <v>0.82</v>
      </c>
      <c r="F20" s="487">
        <v>0.82</v>
      </c>
      <c r="G20" s="61"/>
      <c r="H20" s="151"/>
      <c r="I20" s="61"/>
      <c r="J20" s="232" t="s">
        <v>219</v>
      </c>
      <c r="K20" s="91">
        <f>K17-K18</f>
        <v>1.4163771071303594E-2</v>
      </c>
      <c r="L20" s="91">
        <f>L17-L18</f>
        <v>3.7587449232319187E-2</v>
      </c>
      <c r="M20" s="91">
        <f>M17-M18</f>
        <v>3.9879903652160209E-2</v>
      </c>
      <c r="N20" s="91">
        <f>N17-N18</f>
        <v>3.1884919844182763E-2</v>
      </c>
      <c r="O20" s="322"/>
      <c r="P20" s="283"/>
      <c r="Q20" s="197"/>
      <c r="R20" s="197"/>
      <c r="S20" s="197"/>
      <c r="T20" s="197"/>
      <c r="U20" s="61"/>
    </row>
    <row r="21" spans="1:28" x14ac:dyDescent="0.2">
      <c r="A21" s="61"/>
      <c r="B21" s="234" t="s">
        <v>393</v>
      </c>
      <c r="C21" s="360">
        <v>0.14199999999999999</v>
      </c>
      <c r="D21" s="360">
        <v>0.14199999999999999</v>
      </c>
      <c r="E21" s="360">
        <v>0.14199999999999999</v>
      </c>
      <c r="F21" s="361">
        <v>0.14199999999999999</v>
      </c>
      <c r="G21" s="61"/>
      <c r="H21" s="147"/>
      <c r="I21" s="61"/>
      <c r="J21" s="236" t="str">
        <f>B71</f>
        <v>Operating profit margin</v>
      </c>
      <c r="K21" s="237">
        <f>D71</f>
        <v>0.13406408137679507</v>
      </c>
      <c r="L21" s="237">
        <f>E71</f>
        <v>0.17377938556136532</v>
      </c>
      <c r="M21" s="237">
        <f>F71</f>
        <v>0.1967266778634057</v>
      </c>
      <c r="N21" s="237">
        <f>G71</f>
        <v>0.17658494412424247</v>
      </c>
      <c r="O21" s="278"/>
      <c r="P21" s="283"/>
      <c r="Q21" s="197"/>
      <c r="R21" s="197"/>
      <c r="S21" s="197"/>
      <c r="T21" s="197"/>
      <c r="U21" s="61"/>
    </row>
    <row r="22" spans="1:28" x14ac:dyDescent="0.2">
      <c r="A22" s="61"/>
      <c r="B22" s="232" t="s">
        <v>395</v>
      </c>
      <c r="C22" s="179">
        <f>C21-C19</f>
        <v>0.12559999999999999</v>
      </c>
      <c r="D22" s="179">
        <f>D21-D19</f>
        <v>0.12319999999999999</v>
      </c>
      <c r="E22" s="179">
        <f>E21-E19</f>
        <v>0.12709999999999999</v>
      </c>
      <c r="F22" s="322">
        <f>F21-F19</f>
        <v>0.13379999999999997</v>
      </c>
      <c r="G22" s="61"/>
      <c r="H22" s="148"/>
      <c r="I22" s="61"/>
      <c r="J22" s="61"/>
      <c r="K22" s="72"/>
      <c r="L22" s="72"/>
      <c r="M22" s="72"/>
      <c r="N22" s="72"/>
      <c r="O22" s="61"/>
      <c r="P22" s="283"/>
      <c r="Q22" s="197"/>
      <c r="R22" s="197"/>
      <c r="S22" s="197"/>
      <c r="T22" s="197"/>
      <c r="U22" s="61"/>
    </row>
    <row r="23" spans="1:28" x14ac:dyDescent="0.2">
      <c r="A23" s="61"/>
      <c r="B23" s="294" t="s">
        <v>392</v>
      </c>
      <c r="C23" s="483">
        <f>C19+(C20*(C21-C19))</f>
        <v>0.11939199999999998</v>
      </c>
      <c r="D23" s="483">
        <f>D19+(D20*(D21-D19))</f>
        <v>0.11982399999999999</v>
      </c>
      <c r="E23" s="483">
        <f>E19+(E20*(E21-E19))</f>
        <v>0.11912199999999998</v>
      </c>
      <c r="F23" s="484">
        <f>F19+(F20*(F21-F19))</f>
        <v>0.11791599999999997</v>
      </c>
      <c r="G23" s="61"/>
      <c r="H23" s="149"/>
      <c r="I23" s="61"/>
      <c r="J23" t="s">
        <v>269</v>
      </c>
      <c r="K23" s="152">
        <f>D14</f>
        <v>9.3792063140740942E-2</v>
      </c>
      <c r="L23" s="152">
        <f>E14</f>
        <v>0.11319045626502744</v>
      </c>
      <c r="M23" s="152">
        <f>F14</f>
        <v>0.10518782479348601</v>
      </c>
      <c r="N23" s="152">
        <f>G14</f>
        <v>6.7192549571035473E-2</v>
      </c>
      <c r="O23" s="61"/>
      <c r="P23" s="61"/>
      <c r="U23" s="61"/>
    </row>
    <row r="24" spans="1:28" x14ac:dyDescent="0.2">
      <c r="A24" s="61"/>
      <c r="B24" s="61"/>
      <c r="C24" s="61"/>
      <c r="D24" s="61"/>
      <c r="E24" s="61"/>
      <c r="F24" s="61"/>
      <c r="G24" s="61"/>
      <c r="I24" s="61"/>
      <c r="J24" t="s">
        <v>228</v>
      </c>
      <c r="K24" s="152">
        <f>C32</f>
        <v>8.2269995352546782E-2</v>
      </c>
      <c r="L24" s="152">
        <f>D32</f>
        <v>8.6427638838367973E-2</v>
      </c>
      <c r="M24" s="152">
        <f>E32</f>
        <v>0.11740415967343004</v>
      </c>
      <c r="N24" s="152">
        <f>F32</f>
        <v>9.2286237242118388E-2</v>
      </c>
      <c r="O24" s="61"/>
      <c r="P24" s="61"/>
      <c r="U24" s="61"/>
    </row>
    <row r="25" spans="1:28" x14ac:dyDescent="0.2">
      <c r="A25" s="61"/>
      <c r="B25" s="203"/>
      <c r="C25" s="204">
        <v>2017</v>
      </c>
      <c r="D25" s="204">
        <v>2018</v>
      </c>
      <c r="E25" s="204">
        <v>2019</v>
      </c>
      <c r="F25" s="205">
        <v>2020</v>
      </c>
      <c r="G25" s="61"/>
      <c r="H25" s="150"/>
      <c r="I25" s="61"/>
      <c r="J25" s="152" t="s">
        <v>219</v>
      </c>
      <c r="K25" s="152">
        <f>K23-K24</f>
        <v>1.152206778819416E-2</v>
      </c>
      <c r="L25" s="152">
        <f>L23-L24</f>
        <v>2.6762817426659466E-2</v>
      </c>
      <c r="M25" s="152">
        <f>M23-M24</f>
        <v>-1.221633487994403E-2</v>
      </c>
      <c r="N25" s="152">
        <f>N23-N24</f>
        <v>-2.5093687671082915E-2</v>
      </c>
      <c r="O25" s="61"/>
      <c r="P25" s="61"/>
      <c r="Q25" s="61"/>
      <c r="R25" s="61"/>
      <c r="S25" s="61"/>
      <c r="T25" s="61"/>
      <c r="U25" s="61"/>
    </row>
    <row r="26" spans="1:28" x14ac:dyDescent="0.2">
      <c r="A26" s="61"/>
      <c r="B26" s="234" t="s">
        <v>185</v>
      </c>
      <c r="C26" s="202">
        <f>Balanseny!K101</f>
        <v>1732513</v>
      </c>
      <c r="D26" s="202">
        <f>Balanseny!L101</f>
        <v>1659549</v>
      </c>
      <c r="E26" s="202">
        <f>Balanseny!M101</f>
        <v>269535</v>
      </c>
      <c r="F26" s="210">
        <f>Balanseny!N101</f>
        <v>1584125</v>
      </c>
      <c r="G26" s="61"/>
      <c r="H26" s="146"/>
      <c r="I26" s="61"/>
      <c r="J26" t="s">
        <v>225</v>
      </c>
      <c r="K26" s="146">
        <f>(K23-K24)*D11</f>
        <v>55807.285118999658</v>
      </c>
      <c r="L26" s="146">
        <f>(L23-L24)*E11</f>
        <v>145015.63760440823</v>
      </c>
      <c r="M26" s="146">
        <f>(M23-M24)*F11</f>
        <v>-87744.252846918796</v>
      </c>
      <c r="N26" s="146">
        <f>(N23-N24)*G11</f>
        <v>-175608.76303319712</v>
      </c>
      <c r="O26" s="61"/>
      <c r="P26" s="187"/>
      <c r="Q26" s="188">
        <v>2017</v>
      </c>
      <c r="R26" s="188">
        <v>2018</v>
      </c>
      <c r="S26" s="188">
        <v>2019</v>
      </c>
      <c r="T26" s="446">
        <v>2020</v>
      </c>
      <c r="U26" s="61"/>
    </row>
    <row r="27" spans="1:28" x14ac:dyDescent="0.2">
      <c r="A27" s="61"/>
      <c r="B27" s="232" t="s">
        <v>221</v>
      </c>
      <c r="C27" s="211">
        <f>C26+C28</f>
        <v>4843513</v>
      </c>
      <c r="D27" s="211">
        <f>D26+D28</f>
        <v>5418549</v>
      </c>
      <c r="E27" s="211">
        <f>E26+E28</f>
        <v>7182535</v>
      </c>
      <c r="F27" s="212">
        <f>F26+F28</f>
        <v>6998125</v>
      </c>
      <c r="G27" s="61"/>
      <c r="H27" s="146"/>
      <c r="O27" s="61"/>
      <c r="P27" s="189" t="str">
        <f t="shared" ref="P27:T28" si="2">J17</f>
        <v>ROIC (after tax)</v>
      </c>
      <c r="Q27" s="190">
        <f t="shared" si="2"/>
        <v>9.6433766423850376E-2</v>
      </c>
      <c r="R27" s="190">
        <f t="shared" si="2"/>
        <v>0.12401508807068716</v>
      </c>
      <c r="S27" s="190">
        <f t="shared" si="2"/>
        <v>0.15728406332559025</v>
      </c>
      <c r="T27" s="191">
        <f t="shared" si="2"/>
        <v>0.12417115708630115</v>
      </c>
      <c r="U27" s="61"/>
    </row>
    <row r="28" spans="1:28" x14ac:dyDescent="0.2">
      <c r="A28" s="61"/>
      <c r="B28" s="234" t="s">
        <v>203</v>
      </c>
      <c r="C28" s="202">
        <v>3111000</v>
      </c>
      <c r="D28" s="202">
        <v>3759000</v>
      </c>
      <c r="E28" s="202">
        <v>6913000</v>
      </c>
      <c r="F28" s="210">
        <v>5414000</v>
      </c>
      <c r="G28" s="61"/>
      <c r="H28" s="146"/>
      <c r="O28" s="61"/>
      <c r="P28" s="178" t="str">
        <f t="shared" si="2"/>
        <v>WACC</v>
      </c>
      <c r="Q28" s="179">
        <f t="shared" si="2"/>
        <v>8.2269995352546782E-2</v>
      </c>
      <c r="R28" s="179">
        <f t="shared" si="2"/>
        <v>8.6427638838367973E-2</v>
      </c>
      <c r="S28" s="179">
        <f t="shared" si="2"/>
        <v>0.11740415967343004</v>
      </c>
      <c r="T28" s="180">
        <f t="shared" si="2"/>
        <v>9.2286237242118388E-2</v>
      </c>
      <c r="U28" s="61"/>
    </row>
    <row r="29" spans="1:28" x14ac:dyDescent="0.2">
      <c r="A29" s="61"/>
      <c r="B29" s="232" t="s">
        <v>397</v>
      </c>
      <c r="C29" s="292">
        <v>0.22</v>
      </c>
      <c r="D29" s="292">
        <v>0.22</v>
      </c>
      <c r="E29" s="292">
        <v>0.22</v>
      </c>
      <c r="F29" s="293">
        <v>0.22</v>
      </c>
      <c r="G29" s="61"/>
      <c r="H29" s="144"/>
      <c r="O29" s="61"/>
      <c r="P29" s="177" t="str">
        <f>J20</f>
        <v>EVA %</v>
      </c>
      <c r="Q29" s="72">
        <f>K20</f>
        <v>1.4163771071303594E-2</v>
      </c>
      <c r="R29" s="72">
        <f>L20</f>
        <v>3.7587449232319187E-2</v>
      </c>
      <c r="S29" s="72">
        <f>M20</f>
        <v>3.9879903652160209E-2</v>
      </c>
      <c r="T29" s="84">
        <f>N20</f>
        <v>3.1884919844182763E-2</v>
      </c>
      <c r="U29" s="61"/>
    </row>
    <row r="30" spans="1:28" x14ac:dyDescent="0.2">
      <c r="A30" s="61"/>
      <c r="B30" s="234" t="s">
        <v>396</v>
      </c>
      <c r="C30" s="190">
        <f>D40</f>
        <v>2.0014857031375812E-2</v>
      </c>
      <c r="D30" s="190">
        <f>E40</f>
        <v>1.3823635216555823E-2</v>
      </c>
      <c r="E30" s="190">
        <f>F40</f>
        <v>9.4032314912720058E-2</v>
      </c>
      <c r="F30" s="282">
        <f>G40</f>
        <v>6.0159393987216916E-3</v>
      </c>
      <c r="G30" s="61"/>
      <c r="H30" s="148"/>
      <c r="O30" s="61"/>
      <c r="P30" s="192" t="str">
        <f>J19</f>
        <v>EVA</v>
      </c>
      <c r="Q30" s="193">
        <f>K19</f>
        <v>63578.116046415962</v>
      </c>
      <c r="R30" s="193">
        <f>L19</f>
        <v>176028.41462132023</v>
      </c>
      <c r="S30" s="193">
        <f>M19</f>
        <v>168040.03578373216</v>
      </c>
      <c r="T30" s="194">
        <f>N19</f>
        <v>122335.40681730362</v>
      </c>
      <c r="U30" s="61"/>
    </row>
    <row r="31" spans="1:28" x14ac:dyDescent="0.2">
      <c r="A31" s="61"/>
      <c r="B31" s="232" t="s">
        <v>392</v>
      </c>
      <c r="C31" s="179">
        <f>C23</f>
        <v>0.11939199999999998</v>
      </c>
      <c r="D31" s="179">
        <f>D23</f>
        <v>0.11982399999999999</v>
      </c>
      <c r="E31" s="179">
        <f>E23</f>
        <v>0.11912199999999998</v>
      </c>
      <c r="F31" s="322">
        <f>F23</f>
        <v>0.11791599999999997</v>
      </c>
      <c r="G31" s="61"/>
      <c r="H31" s="148"/>
      <c r="O31" s="61"/>
      <c r="P31" s="61"/>
      <c r="Q31" s="61"/>
      <c r="R31" s="61"/>
      <c r="S31" s="61"/>
      <c r="T31" s="61"/>
      <c r="U31" s="61"/>
    </row>
    <row r="32" spans="1:28" x14ac:dyDescent="0.2">
      <c r="A32" s="61"/>
      <c r="B32" s="294" t="s">
        <v>196</v>
      </c>
      <c r="C32" s="483">
        <f>((C26/C27)*C30*(1-C29))+((C28/C27)*C31)</f>
        <v>8.2269995352546782E-2</v>
      </c>
      <c r="D32" s="483">
        <f>((D26/D27)*D30*(1-D29))+((D28/D27)*D31)</f>
        <v>8.6427638838367973E-2</v>
      </c>
      <c r="E32" s="483">
        <f>((E26/E27)*E30*(1-E29))+((E28/E27)*E31)</f>
        <v>0.11740415967343004</v>
      </c>
      <c r="F32" s="484">
        <f>((F26/F27)*F30*(1-F29))+((F28/F27)*F31)</f>
        <v>9.2286237242118388E-2</v>
      </c>
      <c r="G32" s="61"/>
      <c r="H32" s="149"/>
      <c r="I32" s="148"/>
      <c r="O32" s="61"/>
      <c r="P32" s="61"/>
      <c r="Q32" s="61"/>
      <c r="R32" s="61"/>
      <c r="S32" s="61"/>
      <c r="T32" s="61"/>
      <c r="U32" s="61"/>
    </row>
    <row r="33" spans="1:21" x14ac:dyDescent="0.2">
      <c r="A33" s="61"/>
      <c r="B33" s="280"/>
      <c r="C33" s="488"/>
      <c r="D33" s="488"/>
      <c r="E33" s="488"/>
      <c r="F33" s="488"/>
      <c r="G33" s="61"/>
      <c r="H33" s="149"/>
      <c r="I33" s="148"/>
      <c r="O33" s="61"/>
      <c r="P33" s="61"/>
      <c r="Q33" s="61"/>
      <c r="R33" s="61"/>
      <c r="S33" s="61"/>
      <c r="T33" s="61"/>
      <c r="U33" s="61"/>
    </row>
    <row r="34" spans="1:21" x14ac:dyDescent="0.2">
      <c r="A34" s="61"/>
      <c r="B34" s="61"/>
      <c r="C34" s="61"/>
      <c r="D34" s="61"/>
      <c r="E34" s="61"/>
      <c r="F34" s="61"/>
      <c r="G34" s="61"/>
      <c r="H34" s="149"/>
      <c r="I34" s="148"/>
      <c r="O34" s="61"/>
      <c r="P34" s="61"/>
      <c r="Q34" s="61"/>
      <c r="R34" s="61"/>
      <c r="S34" s="61"/>
      <c r="T34" s="61"/>
      <c r="U34" s="61"/>
    </row>
    <row r="35" spans="1:21" x14ac:dyDescent="0.2">
      <c r="A35" s="61"/>
      <c r="B35" s="280"/>
      <c r="C35" s="488"/>
      <c r="D35" s="488"/>
      <c r="E35" s="488"/>
      <c r="F35" s="488"/>
      <c r="G35" s="61"/>
      <c r="H35" s="149"/>
      <c r="I35" s="148"/>
      <c r="O35" s="61"/>
      <c r="P35" s="61"/>
      <c r="Q35" s="61"/>
      <c r="R35" s="61"/>
      <c r="S35" s="61"/>
      <c r="T35" s="61"/>
      <c r="U35" s="61"/>
    </row>
    <row r="36" spans="1:21" x14ac:dyDescent="0.2">
      <c r="A36" s="61"/>
      <c r="B36" s="61"/>
      <c r="C36" s="61"/>
      <c r="D36" s="61"/>
      <c r="E36" s="61"/>
      <c r="F36" s="61"/>
      <c r="G36" s="61"/>
      <c r="O36" s="61"/>
      <c r="P36" s="173"/>
      <c r="Q36" s="174">
        <v>2017</v>
      </c>
      <c r="R36" s="175">
        <v>2018</v>
      </c>
      <c r="S36" s="175">
        <v>2019</v>
      </c>
      <c r="T36" s="176">
        <v>2020</v>
      </c>
      <c r="U36" s="61"/>
    </row>
    <row r="37" spans="1:21" x14ac:dyDescent="0.2">
      <c r="B37" s="119"/>
      <c r="C37" s="150">
        <v>2016</v>
      </c>
      <c r="D37" s="150">
        <v>2017</v>
      </c>
      <c r="E37" s="150">
        <v>2018</v>
      </c>
      <c r="F37" s="150">
        <v>2019</v>
      </c>
      <c r="G37" s="150">
        <v>2020</v>
      </c>
      <c r="H37" s="150"/>
      <c r="O37" s="61"/>
      <c r="P37" s="177" t="str">
        <f>P27</f>
        <v>ROIC (after tax)</v>
      </c>
      <c r="Q37" s="72">
        <f>Q27</f>
        <v>9.6433766423850376E-2</v>
      </c>
      <c r="R37" s="72">
        <f>R27</f>
        <v>0.12401508807068716</v>
      </c>
      <c r="S37" s="72">
        <f>S27</f>
        <v>0.15728406332559025</v>
      </c>
      <c r="T37" s="84">
        <f>T27</f>
        <v>0.12417115708630115</v>
      </c>
      <c r="U37" s="61"/>
    </row>
    <row r="38" spans="1:21" x14ac:dyDescent="0.2">
      <c r="B38" t="s">
        <v>222</v>
      </c>
      <c r="C38" s="146">
        <v>30250</v>
      </c>
      <c r="D38" s="146">
        <v>34676</v>
      </c>
      <c r="E38" s="146">
        <v>22941</v>
      </c>
      <c r="F38" s="146">
        <v>25345</v>
      </c>
      <c r="G38" s="146">
        <v>9530</v>
      </c>
      <c r="H38" s="146"/>
      <c r="O38" s="61"/>
      <c r="P38" s="178" t="str">
        <f>J21</f>
        <v>Operating profit margin</v>
      </c>
      <c r="Q38" s="179">
        <f>K21</f>
        <v>0.13406408137679507</v>
      </c>
      <c r="R38" s="179">
        <f>L21</f>
        <v>0.17377938556136532</v>
      </c>
      <c r="S38" s="179">
        <f>M21</f>
        <v>0.1967266778634057</v>
      </c>
      <c r="T38" s="180">
        <f>N21</f>
        <v>0.17658494412424247</v>
      </c>
      <c r="U38" s="61"/>
    </row>
    <row r="39" spans="1:21" x14ac:dyDescent="0.2">
      <c r="B39" t="s">
        <v>185</v>
      </c>
      <c r="C39" s="146">
        <f>Balanseny!J101</f>
        <v>1687742</v>
      </c>
      <c r="D39" s="146">
        <f>Balanseny!K101</f>
        <v>1732513</v>
      </c>
      <c r="E39" s="146">
        <f>Balanseny!L101</f>
        <v>1659549</v>
      </c>
      <c r="F39" s="146">
        <f>Balanseny!M101</f>
        <v>269535</v>
      </c>
      <c r="G39" s="146">
        <f>Balanseny!N101</f>
        <v>1584125</v>
      </c>
      <c r="H39" s="146"/>
      <c r="P39" s="75" t="s">
        <v>231</v>
      </c>
      <c r="Q39" s="181">
        <f>Resultatny!K5/Balanseny!D110</f>
        <v>0.70334886851658418</v>
      </c>
      <c r="R39" s="181">
        <f>Resultatny!L5/Balanseny!E110</f>
        <v>0.69981060308625886</v>
      </c>
      <c r="S39" s="181">
        <f>Resultatny!M5/Balanseny!F110</f>
        <v>0.92256010279276124</v>
      </c>
      <c r="T39" s="182">
        <f>Resultatny!O5/Balanseny!G110</f>
        <v>0.67080811747564606</v>
      </c>
    </row>
    <row r="40" spans="1:21" x14ac:dyDescent="0.2">
      <c r="B40" s="9" t="s">
        <v>198</v>
      </c>
      <c r="C40" s="149">
        <f>C38/C39</f>
        <v>1.7923355583969586E-2</v>
      </c>
      <c r="D40" s="149">
        <f>D38/D39</f>
        <v>2.0014857031375812E-2</v>
      </c>
      <c r="E40" s="149">
        <f>E38/E39</f>
        <v>1.3823635216555823E-2</v>
      </c>
      <c r="F40" s="149">
        <f>F38/F39</f>
        <v>9.4032314912720058E-2</v>
      </c>
      <c r="G40" s="149">
        <f>G38/G39</f>
        <v>6.0159393987216916E-3</v>
      </c>
      <c r="H40" s="149"/>
      <c r="P40" s="90" t="s">
        <v>232</v>
      </c>
      <c r="Q40" s="183">
        <f>360/Q39</f>
        <v>511.83703580737557</v>
      </c>
      <c r="R40" s="183">
        <f>360/R39</f>
        <v>514.42490069791972</v>
      </c>
      <c r="S40" s="183">
        <f>360/S39</f>
        <v>390.21847889390943</v>
      </c>
      <c r="T40" s="184">
        <f>360/T39</f>
        <v>536.66613539909929</v>
      </c>
    </row>
    <row r="41" spans="1:21" x14ac:dyDescent="0.2">
      <c r="P41" s="76" t="s">
        <v>233</v>
      </c>
      <c r="Q41" s="185">
        <f>Q40/360*12</f>
        <v>17.061234526912518</v>
      </c>
      <c r="R41" s="185">
        <f>R40/360*12</f>
        <v>17.147496689930659</v>
      </c>
      <c r="S41" s="185">
        <f>S40/360*12</f>
        <v>13.007282629796983</v>
      </c>
      <c r="T41" s="186">
        <f>T40/360*12</f>
        <v>17.888871179969975</v>
      </c>
    </row>
    <row r="42" spans="1:21" x14ac:dyDescent="0.2">
      <c r="B42" s="119"/>
      <c r="C42" s="150">
        <v>2016</v>
      </c>
      <c r="D42" s="150">
        <v>2017</v>
      </c>
      <c r="E42" s="150">
        <v>2018</v>
      </c>
      <c r="F42" s="150">
        <v>2019</v>
      </c>
      <c r="G42" s="150">
        <v>2020</v>
      </c>
      <c r="H42" s="150"/>
      <c r="P42" s="61"/>
      <c r="Q42" s="61"/>
      <c r="R42" s="61"/>
      <c r="S42" s="61"/>
      <c r="T42" s="61"/>
    </row>
    <row r="43" spans="1:21" x14ac:dyDescent="0.2">
      <c r="B43" t="s">
        <v>193</v>
      </c>
      <c r="C43" s="152"/>
      <c r="D43" s="152">
        <f>D8</f>
        <v>9.6433766423850376E-2</v>
      </c>
      <c r="E43" s="152">
        <f>E8</f>
        <v>0.12401508807068716</v>
      </c>
      <c r="F43" s="152">
        <f>F8</f>
        <v>0.15728406332559025</v>
      </c>
      <c r="G43" s="152">
        <f>G8</f>
        <v>0.12417115708630115</v>
      </c>
      <c r="H43" s="152"/>
      <c r="P43" s="61"/>
      <c r="Q43" s="61"/>
      <c r="R43" s="61"/>
      <c r="S43" s="61"/>
      <c r="T43" s="61"/>
    </row>
    <row r="44" spans="1:21" x14ac:dyDescent="0.2">
      <c r="B44" t="s">
        <v>196</v>
      </c>
      <c r="D44" s="152">
        <f>C32</f>
        <v>8.2269995352546782E-2</v>
      </c>
      <c r="E44" s="152">
        <f>D32</f>
        <v>8.6427638838367973E-2</v>
      </c>
      <c r="F44" s="152">
        <f>E32</f>
        <v>0.11740415967343004</v>
      </c>
      <c r="G44" s="152">
        <f>F32</f>
        <v>9.2286237242118388E-2</v>
      </c>
      <c r="H44" s="152"/>
    </row>
    <row r="45" spans="1:21" x14ac:dyDescent="0.2">
      <c r="B45" t="s">
        <v>195</v>
      </c>
      <c r="D45" s="146">
        <f>D7</f>
        <v>4488784.5</v>
      </c>
      <c r="E45" s="146">
        <f>E7</f>
        <v>4683170</v>
      </c>
      <c r="F45" s="146">
        <f>F7</f>
        <v>4213652</v>
      </c>
      <c r="G45" s="146">
        <f>G7</f>
        <v>3836779.5</v>
      </c>
      <c r="H45" s="146"/>
    </row>
    <row r="46" spans="1:21" x14ac:dyDescent="0.2">
      <c r="B46" s="9" t="s">
        <v>205</v>
      </c>
      <c r="C46" s="9"/>
      <c r="D46" s="153">
        <f>(D43-D44)*D45</f>
        <v>63578.116046415962</v>
      </c>
      <c r="E46" s="153">
        <f>(E43-E44)*E45</f>
        <v>176028.41462132023</v>
      </c>
      <c r="F46" s="153">
        <f>(F43-F44)*F45</f>
        <v>168040.03578373216</v>
      </c>
      <c r="G46" s="153">
        <f>(G43-G44)*G45</f>
        <v>122335.40681730362</v>
      </c>
      <c r="H46" s="153"/>
    </row>
    <row r="47" spans="1:21" x14ac:dyDescent="0.2">
      <c r="B47" t="s">
        <v>220</v>
      </c>
      <c r="D47" s="159">
        <f>D46/D45</f>
        <v>1.4163771071303594E-2</v>
      </c>
      <c r="E47" s="159">
        <f>E46/E45</f>
        <v>3.7587449232319187E-2</v>
      </c>
      <c r="F47" s="159">
        <f>F46/F45</f>
        <v>3.9879903652160209E-2</v>
      </c>
      <c r="G47" s="159">
        <f>G46/G45</f>
        <v>3.1884919844182763E-2</v>
      </c>
      <c r="H47" s="159"/>
      <c r="I47" s="61"/>
      <c r="J47" s="61"/>
      <c r="K47" s="61"/>
      <c r="L47" s="61"/>
      <c r="M47" s="61"/>
      <c r="N47" s="61"/>
      <c r="O47" s="61"/>
    </row>
    <row r="48" spans="1:21" x14ac:dyDescent="0.2">
      <c r="D48" s="159"/>
      <c r="E48" s="159"/>
      <c r="F48" s="159"/>
      <c r="G48" s="159"/>
      <c r="H48" s="159"/>
      <c r="I48" s="61"/>
      <c r="J48" s="203"/>
      <c r="K48" s="204">
        <v>2017</v>
      </c>
      <c r="L48" s="204">
        <v>2018</v>
      </c>
      <c r="M48" s="204">
        <v>2019</v>
      </c>
      <c r="N48" s="205">
        <v>2020</v>
      </c>
      <c r="O48" s="61"/>
    </row>
    <row r="49" spans="2:15" x14ac:dyDescent="0.2">
      <c r="B49" s="203"/>
      <c r="C49" s="300">
        <v>2016</v>
      </c>
      <c r="D49" s="300">
        <v>2017</v>
      </c>
      <c r="E49" s="300">
        <v>2018</v>
      </c>
      <c r="F49" s="300">
        <v>2019</v>
      </c>
      <c r="G49" s="301" t="str">
        <f>G3</f>
        <v>2020 (1)</v>
      </c>
      <c r="H49" s="296" t="str">
        <f>H3</f>
        <v>2020 (2)</v>
      </c>
      <c r="I49" s="61"/>
      <c r="J49" s="206" t="str">
        <f t="shared" ref="J49:N50" si="3">J17</f>
        <v>ROIC (after tax)</v>
      </c>
      <c r="K49" s="72">
        <f t="shared" si="3"/>
        <v>9.6433766423850376E-2</v>
      </c>
      <c r="L49" s="72">
        <f t="shared" si="3"/>
        <v>0.12401508807068716</v>
      </c>
      <c r="M49" s="72">
        <f t="shared" si="3"/>
        <v>0.15728406332559025</v>
      </c>
      <c r="N49" s="207">
        <f t="shared" si="3"/>
        <v>0.12417115708630115</v>
      </c>
      <c r="O49" s="61"/>
    </row>
    <row r="50" spans="2:15" x14ac:dyDescent="0.2">
      <c r="B50" s="198" t="s">
        <v>206</v>
      </c>
      <c r="C50" s="146">
        <f>C4</f>
        <v>298942.65000000002</v>
      </c>
      <c r="D50" s="146">
        <f>D4</f>
        <v>432870.39600000001</v>
      </c>
      <c r="E50" s="146">
        <f>E4</f>
        <v>580783.74</v>
      </c>
      <c r="F50" s="146">
        <f>F4</f>
        <v>662740.30799999996</v>
      </c>
      <c r="G50" s="225">
        <f>G4</f>
        <v>476417.35</v>
      </c>
      <c r="H50" s="297">
        <f>H4</f>
        <v>552110.56799999997</v>
      </c>
      <c r="I50" s="61"/>
      <c r="J50" s="208" t="str">
        <f t="shared" si="3"/>
        <v>WACC</v>
      </c>
      <c r="K50" s="91">
        <f t="shared" si="3"/>
        <v>8.2269995352546782E-2</v>
      </c>
      <c r="L50" s="91">
        <f t="shared" si="3"/>
        <v>8.6427638838367973E-2</v>
      </c>
      <c r="M50" s="91">
        <f t="shared" si="3"/>
        <v>0.11740415967343004</v>
      </c>
      <c r="N50" s="209">
        <f t="shared" si="3"/>
        <v>9.2286237242118388E-2</v>
      </c>
      <c r="O50" s="61"/>
    </row>
    <row r="51" spans="2:15" x14ac:dyDescent="0.2">
      <c r="B51" s="198" t="s">
        <v>244</v>
      </c>
      <c r="C51" s="146">
        <f>Balanseny!J7</f>
        <v>2699172</v>
      </c>
      <c r="D51" s="146">
        <f>Balanseny!K7</f>
        <v>2858142</v>
      </c>
      <c r="E51" s="146">
        <f>Balanseny!L7</f>
        <v>3116136</v>
      </c>
      <c r="F51" s="146">
        <f>Balanseny!M7</f>
        <v>3382084</v>
      </c>
      <c r="G51" s="225">
        <f>Balanseny!N7</f>
        <v>2437815</v>
      </c>
      <c r="H51" s="297">
        <f>G51</f>
        <v>2437815</v>
      </c>
      <c r="I51" s="61"/>
      <c r="J51" s="206" t="s">
        <v>259</v>
      </c>
      <c r="K51" s="202">
        <f>D66</f>
        <v>4590655</v>
      </c>
      <c r="L51" s="202">
        <f>E66</f>
        <v>4775685</v>
      </c>
      <c r="M51" s="202">
        <f>F66</f>
        <v>3651619</v>
      </c>
      <c r="N51" s="210">
        <f>G66</f>
        <v>4021940</v>
      </c>
      <c r="O51" s="61"/>
    </row>
    <row r="52" spans="2:15" x14ac:dyDescent="0.2">
      <c r="B52" s="198" t="s">
        <v>243</v>
      </c>
      <c r="C52" s="146"/>
      <c r="D52" s="146">
        <f>(C51+D51)/2</f>
        <v>2778657</v>
      </c>
      <c r="E52" s="146">
        <f t="shared" ref="E52:G52" si="4">(D51+E51)/2</f>
        <v>2987139</v>
      </c>
      <c r="F52" s="146">
        <f t="shared" si="4"/>
        <v>3249110</v>
      </c>
      <c r="G52" s="225">
        <f t="shared" si="4"/>
        <v>2909949.5</v>
      </c>
      <c r="H52" s="297">
        <f>G52</f>
        <v>2909949.5</v>
      </c>
      <c r="I52" s="61"/>
      <c r="J52" s="208" t="str">
        <f>J19</f>
        <v>EVA</v>
      </c>
      <c r="K52" s="211">
        <f>K26</f>
        <v>55807.285118999658</v>
      </c>
      <c r="L52" s="211">
        <f>L26</f>
        <v>145015.63760440823</v>
      </c>
      <c r="M52" s="211">
        <f>M26</f>
        <v>-87744.252846918796</v>
      </c>
      <c r="N52" s="212">
        <f>N26</f>
        <v>-175608.76303319712</v>
      </c>
      <c r="O52" s="61"/>
    </row>
    <row r="53" spans="2:15" x14ac:dyDescent="0.2">
      <c r="B53" s="198" t="s">
        <v>197</v>
      </c>
      <c r="C53" s="146">
        <v>3735000</v>
      </c>
      <c r="D53" s="146">
        <f>C28</f>
        <v>3111000</v>
      </c>
      <c r="E53" s="146">
        <f>D28</f>
        <v>3759000</v>
      </c>
      <c r="F53" s="146">
        <f>E28</f>
        <v>6913000</v>
      </c>
      <c r="G53" s="225">
        <f>F28</f>
        <v>5414000</v>
      </c>
      <c r="H53" s="297">
        <f>G53</f>
        <v>5414000</v>
      </c>
      <c r="I53" s="61"/>
      <c r="J53" s="206" t="s">
        <v>260</v>
      </c>
      <c r="K53" s="72"/>
      <c r="L53" s="213">
        <f>(L52-K52)/K52</f>
        <v>1.5985072969449552</v>
      </c>
      <c r="M53" s="213">
        <f t="shared" ref="M53:N53" si="5">(M52-L52)/L52</f>
        <v>-1.6050675244160808</v>
      </c>
      <c r="N53" s="214">
        <f t="shared" si="5"/>
        <v>1.0013705437730416</v>
      </c>
      <c r="O53" s="61"/>
    </row>
    <row r="54" spans="2:15" x14ac:dyDescent="0.2">
      <c r="B54" s="198" t="s">
        <v>253</v>
      </c>
      <c r="C54" s="146"/>
      <c r="D54" s="146">
        <f>(C53+D53)/2</f>
        <v>3423000</v>
      </c>
      <c r="E54" s="146">
        <f t="shared" ref="E54:G54" si="6">(D53+E53)/2</f>
        <v>3435000</v>
      </c>
      <c r="F54" s="146">
        <f t="shared" si="6"/>
        <v>5336000</v>
      </c>
      <c r="G54" s="225">
        <f t="shared" si="6"/>
        <v>6163500</v>
      </c>
      <c r="H54" s="297">
        <f>G54</f>
        <v>6163500</v>
      </c>
      <c r="I54" s="61"/>
      <c r="J54" s="215" t="s">
        <v>261</v>
      </c>
      <c r="K54" s="216">
        <v>33</v>
      </c>
      <c r="L54" s="216">
        <v>40.049999999999997</v>
      </c>
      <c r="M54" s="216">
        <v>64</v>
      </c>
      <c r="N54" s="217">
        <v>56</v>
      </c>
      <c r="O54" s="61"/>
    </row>
    <row r="55" spans="2:15" x14ac:dyDescent="0.2">
      <c r="B55" s="302" t="s">
        <v>207</v>
      </c>
      <c r="C55" s="304"/>
      <c r="D55" s="304">
        <f>D50/D52</f>
        <v>0.15578403379762237</v>
      </c>
      <c r="E55" s="304">
        <f>E50/E52</f>
        <v>0.19442809323570145</v>
      </c>
      <c r="F55" s="304">
        <f>F50/F52</f>
        <v>0.20397595279938197</v>
      </c>
      <c r="G55" s="305">
        <f>G50/G52</f>
        <v>0.16372014359699369</v>
      </c>
      <c r="H55" s="298">
        <f>H50/H52</f>
        <v>0.18973201012594892</v>
      </c>
      <c r="I55" s="61"/>
      <c r="J55" s="61"/>
      <c r="K55" s="61"/>
      <c r="L55" s="61"/>
      <c r="M55" s="61"/>
      <c r="N55" s="61"/>
      <c r="O55" s="61"/>
    </row>
    <row r="56" spans="2:15" x14ac:dyDescent="0.2">
      <c r="B56" s="306" t="s">
        <v>254</v>
      </c>
      <c r="C56" s="310"/>
      <c r="D56" s="308">
        <f>D50/D54</f>
        <v>0.12645936196319019</v>
      </c>
      <c r="E56" s="308">
        <f t="shared" ref="E56:H56" si="7">E50/E54</f>
        <v>0.16907823580786027</v>
      </c>
      <c r="F56" s="308">
        <f t="shared" si="7"/>
        <v>0.12420170689655172</v>
      </c>
      <c r="G56" s="309">
        <f t="shared" si="7"/>
        <v>7.7296560395878955E-2</v>
      </c>
      <c r="H56" s="299">
        <f t="shared" si="7"/>
        <v>8.9577442686785094E-2</v>
      </c>
    </row>
    <row r="57" spans="2:15" x14ac:dyDescent="0.2">
      <c r="B57" s="9"/>
      <c r="C57" s="9"/>
      <c r="D57" s="149"/>
      <c r="E57" s="149"/>
      <c r="F57" s="149"/>
      <c r="G57" s="149"/>
      <c r="H57" s="149"/>
    </row>
    <row r="58" spans="2:15" x14ac:dyDescent="0.2">
      <c r="B58" s="119"/>
      <c r="C58" s="150">
        <v>2016</v>
      </c>
      <c r="D58" s="150">
        <v>2017</v>
      </c>
      <c r="E58" s="150">
        <v>2018</v>
      </c>
      <c r="F58" s="150">
        <v>2019</v>
      </c>
      <c r="G58" s="150">
        <v>2020</v>
      </c>
      <c r="H58" s="150"/>
      <c r="J58" s="144">
        <f>(G50-F50)/F50</f>
        <v>-0.28114022302684505</v>
      </c>
    </row>
    <row r="59" spans="2:15" x14ac:dyDescent="0.2">
      <c r="B59" t="s">
        <v>196</v>
      </c>
      <c r="C59" s="154"/>
      <c r="D59" s="154">
        <f>C32</f>
        <v>8.2269995352546782E-2</v>
      </c>
      <c r="E59" s="154">
        <f>D32</f>
        <v>8.6427638838367973E-2</v>
      </c>
      <c r="F59" s="154">
        <f>E32</f>
        <v>0.11740415967343004</v>
      </c>
      <c r="G59" s="154">
        <f>F32</f>
        <v>9.2286237242118388E-2</v>
      </c>
      <c r="H59" s="154"/>
      <c r="J59" s="154">
        <f>(G52-F52)/F52</f>
        <v>-0.10438566253527889</v>
      </c>
    </row>
    <row r="60" spans="2:15" x14ac:dyDescent="0.2">
      <c r="B60" t="s">
        <v>200</v>
      </c>
      <c r="C60" s="154"/>
      <c r="D60" s="154">
        <f>C23</f>
        <v>0.11939199999999998</v>
      </c>
      <c r="E60" s="154">
        <f>D23</f>
        <v>0.11982399999999999</v>
      </c>
      <c r="F60" s="154">
        <f>E23</f>
        <v>0.11912199999999998</v>
      </c>
      <c r="G60" s="154">
        <f>F23</f>
        <v>0.11791599999999997</v>
      </c>
      <c r="H60" s="154"/>
    </row>
    <row r="61" spans="2:15" x14ac:dyDescent="0.2">
      <c r="B61" t="s">
        <v>207</v>
      </c>
      <c r="C61" s="154"/>
      <c r="D61" s="154">
        <f>D55</f>
        <v>0.15578403379762237</v>
      </c>
      <c r="E61" s="154">
        <f>E55</f>
        <v>0.19442809323570145</v>
      </c>
      <c r="F61" s="154">
        <f>F55</f>
        <v>0.20397595279938197</v>
      </c>
      <c r="G61" s="154">
        <f>G55</f>
        <v>0.16372014359699369</v>
      </c>
      <c r="H61" s="154"/>
    </row>
    <row r="62" spans="2:15" x14ac:dyDescent="0.2">
      <c r="B62" t="s">
        <v>201</v>
      </c>
      <c r="C62" s="148"/>
      <c r="D62" s="148">
        <f>D8</f>
        <v>9.6433766423850376E-2</v>
      </c>
      <c r="E62" s="148">
        <f>E8</f>
        <v>0.12401508807068716</v>
      </c>
      <c r="F62" s="148">
        <f>F8</f>
        <v>0.15728406332559025</v>
      </c>
      <c r="G62" s="148">
        <f>G8</f>
        <v>0.12417115708630115</v>
      </c>
      <c r="H62" s="148"/>
    </row>
    <row r="64" spans="2:15" x14ac:dyDescent="0.2">
      <c r="B64" s="119"/>
      <c r="C64" s="150">
        <v>2016</v>
      </c>
      <c r="D64" s="150">
        <v>2017</v>
      </c>
      <c r="E64" s="150">
        <v>2018</v>
      </c>
      <c r="F64" s="150">
        <v>2019</v>
      </c>
      <c r="G64" s="150">
        <v>2020</v>
      </c>
      <c r="H64" s="150"/>
    </row>
    <row r="65" spans="2:9" x14ac:dyDescent="0.2">
      <c r="B65" t="s">
        <v>216</v>
      </c>
      <c r="C65" s="146"/>
      <c r="D65" s="146">
        <f>Resultatny!D5</f>
        <v>3228832</v>
      </c>
      <c r="E65" s="146">
        <f>Resultatny!E5</f>
        <v>3342075</v>
      </c>
      <c r="F65" s="146">
        <f>Resultatny!F5</f>
        <v>3368838</v>
      </c>
      <c r="G65" s="146">
        <f>Resultatny!G5</f>
        <v>2697950</v>
      </c>
      <c r="H65" s="146"/>
    </row>
    <row r="66" spans="2:9" x14ac:dyDescent="0.2">
      <c r="B66" t="s">
        <v>218</v>
      </c>
      <c r="C66" s="146"/>
      <c r="D66" s="146">
        <f>Balanseny!D110</f>
        <v>4590655</v>
      </c>
      <c r="E66" s="146">
        <f>Balanseny!E110</f>
        <v>4775685</v>
      </c>
      <c r="F66" s="146">
        <f>Balanseny!F110</f>
        <v>3651619</v>
      </c>
      <c r="G66" s="146">
        <f>Balanseny!G110</f>
        <v>4021940</v>
      </c>
      <c r="H66" s="146"/>
    </row>
    <row r="67" spans="2:9" x14ac:dyDescent="0.2">
      <c r="B67" s="9" t="s">
        <v>217</v>
      </c>
      <c r="D67" s="155">
        <f>D65/D66</f>
        <v>0.70334886851658418</v>
      </c>
      <c r="E67" s="155">
        <f>E65/E66</f>
        <v>0.69981060308625886</v>
      </c>
      <c r="F67" s="155">
        <f>F65/F66</f>
        <v>0.92256010279276124</v>
      </c>
      <c r="G67" s="155">
        <f>G65/G66</f>
        <v>0.67080811747564606</v>
      </c>
      <c r="H67" s="155"/>
    </row>
    <row r="68" spans="2:9" x14ac:dyDescent="0.2">
      <c r="C68" s="172"/>
    </row>
    <row r="69" spans="2:9" x14ac:dyDescent="0.2">
      <c r="B69" t="s">
        <v>229</v>
      </c>
      <c r="C69" s="146">
        <f>Resultatny!J17</f>
        <v>298942.65000000002</v>
      </c>
      <c r="D69" s="146">
        <f>Resultatny!K17</f>
        <v>432870.39600000001</v>
      </c>
      <c r="E69" s="146">
        <f>Resultatny!L17</f>
        <v>580783.74</v>
      </c>
      <c r="F69" s="146">
        <f>Resultatny!M17</f>
        <v>662740.30799999996</v>
      </c>
      <c r="G69" s="146">
        <f>Resultatny!N17</f>
        <v>476417.35</v>
      </c>
      <c r="H69" s="146"/>
      <c r="I69" s="146">
        <f>Resultatny!O17</f>
        <v>552110.56799999997</v>
      </c>
    </row>
    <row r="70" spans="2:9" x14ac:dyDescent="0.2">
      <c r="B70" t="s">
        <v>224</v>
      </c>
      <c r="C70" s="146">
        <f>Resultatny!J5</f>
        <v>3000347</v>
      </c>
      <c r="D70" s="146">
        <f>Resultatny!K5</f>
        <v>3228832</v>
      </c>
      <c r="E70" s="146">
        <f>Resultatny!L5</f>
        <v>3342075</v>
      </c>
      <c r="F70" s="146">
        <f>Resultatny!M5</f>
        <v>3368838</v>
      </c>
      <c r="G70" s="146">
        <f>Resultatny!N5</f>
        <v>2697950</v>
      </c>
      <c r="H70" s="146"/>
      <c r="I70" s="146">
        <f>Resultatny!O5</f>
        <v>2697950</v>
      </c>
    </row>
    <row r="71" spans="2:9" x14ac:dyDescent="0.2">
      <c r="B71" s="9" t="s">
        <v>223</v>
      </c>
      <c r="C71" s="148">
        <f>C69/C70</f>
        <v>9.9636025433058245E-2</v>
      </c>
      <c r="D71" s="148">
        <f>D69/D70</f>
        <v>0.13406408137679507</v>
      </c>
      <c r="E71" s="148">
        <f>E69/E70</f>
        <v>0.17377938556136532</v>
      </c>
      <c r="F71" s="148">
        <f>F69/F70</f>
        <v>0.1967266778634057</v>
      </c>
      <c r="G71" s="148">
        <f>G69/G70</f>
        <v>0.17658494412424247</v>
      </c>
      <c r="H71" s="148"/>
      <c r="I71" s="148">
        <f>I69/I70</f>
        <v>0.20464077095572564</v>
      </c>
    </row>
    <row r="73" spans="2:9" x14ac:dyDescent="0.2">
      <c r="B73" s="555"/>
      <c r="C73" s="555"/>
      <c r="D73" s="555"/>
      <c r="E73" s="555"/>
      <c r="F73" s="555"/>
      <c r="G73" s="555"/>
      <c r="H73" s="295"/>
    </row>
    <row r="74" spans="2:9" x14ac:dyDescent="0.2">
      <c r="B74" s="203"/>
      <c r="C74" s="204">
        <v>2016</v>
      </c>
      <c r="D74" s="204">
        <v>2017</v>
      </c>
      <c r="E74" s="204">
        <v>2018</v>
      </c>
      <c r="F74" s="204">
        <v>2019</v>
      </c>
      <c r="G74" s="204">
        <v>2020</v>
      </c>
      <c r="H74" s="204"/>
      <c r="I74" s="223" t="s">
        <v>264</v>
      </c>
    </row>
    <row r="75" spans="2:9" x14ac:dyDescent="0.2">
      <c r="B75" s="198" t="s">
        <v>185</v>
      </c>
      <c r="C75" s="146">
        <f>Balanseny!J101</f>
        <v>1687742</v>
      </c>
      <c r="D75" s="146">
        <f>Balanseny!K101</f>
        <v>1732513</v>
      </c>
      <c r="E75" s="146">
        <f>Balanseny!L101</f>
        <v>1659549</v>
      </c>
      <c r="F75" s="146">
        <f>Balanseny!M101</f>
        <v>269535</v>
      </c>
      <c r="G75" s="146">
        <f>Balanseny!N101</f>
        <v>1584125</v>
      </c>
      <c r="H75" s="146"/>
      <c r="I75" s="199"/>
    </row>
    <row r="76" spans="2:9" x14ac:dyDescent="0.2">
      <c r="B76" s="198" t="s">
        <v>244</v>
      </c>
      <c r="C76" s="146">
        <f>Balanseny!J92</f>
        <v>2699172</v>
      </c>
      <c r="D76" s="146">
        <f>Balanseny!K92</f>
        <v>2858142</v>
      </c>
      <c r="E76" s="146">
        <f>Balanseny!L92</f>
        <v>3116136</v>
      </c>
      <c r="F76" s="146">
        <f>Balanseny!M92</f>
        <v>3382084</v>
      </c>
      <c r="G76" s="146">
        <f>Balanseny!N92</f>
        <v>2437815</v>
      </c>
      <c r="H76" s="146"/>
      <c r="I76" s="199"/>
    </row>
    <row r="77" spans="2:9" x14ac:dyDescent="0.2">
      <c r="B77" s="200" t="s">
        <v>245</v>
      </c>
      <c r="C77" s="219">
        <f>C75/C76</f>
        <v>0.62528138258695631</v>
      </c>
      <c r="D77" s="219">
        <f t="shared" ref="D77:G77" si="8">D75/D76</f>
        <v>0.60616757319965209</v>
      </c>
      <c r="E77" s="219">
        <f t="shared" si="8"/>
        <v>0.53256629364058561</v>
      </c>
      <c r="F77" s="219">
        <f t="shared" si="8"/>
        <v>7.9694945483317389E-2</v>
      </c>
      <c r="G77" s="219">
        <f t="shared" si="8"/>
        <v>0.64981346000414308</v>
      </c>
      <c r="H77" s="219"/>
      <c r="I77" s="224">
        <f>AVERAGE(C77:G77)</f>
        <v>0.49870473098293094</v>
      </c>
    </row>
    <row r="79" spans="2:9" x14ac:dyDescent="0.2">
      <c r="B79" s="203"/>
      <c r="C79" s="204">
        <v>2016</v>
      </c>
      <c r="D79" s="204">
        <v>2017</v>
      </c>
      <c r="E79" s="204">
        <v>2018</v>
      </c>
      <c r="F79" s="204">
        <v>2019</v>
      </c>
      <c r="G79" s="205">
        <v>2020</v>
      </c>
      <c r="H79" s="119"/>
    </row>
    <row r="80" spans="2:9" x14ac:dyDescent="0.2">
      <c r="B80" s="198" t="s">
        <v>246</v>
      </c>
      <c r="C80" s="146">
        <f>-Resultatny!J20</f>
        <v>37585</v>
      </c>
      <c r="D80" s="146">
        <f>-Resultatny!K20</f>
        <v>52600</v>
      </c>
      <c r="E80" s="146">
        <f>-Resultatny!L20</f>
        <v>28229</v>
      </c>
      <c r="F80" s="146">
        <f>-Resultatny!M20</f>
        <v>27480</v>
      </c>
      <c r="G80" s="225">
        <f>-Resultatny!O20</f>
        <v>11648</v>
      </c>
      <c r="H80" s="146"/>
    </row>
    <row r="81" spans="2:12" x14ac:dyDescent="0.2">
      <c r="B81" s="198" t="s">
        <v>247</v>
      </c>
      <c r="C81" s="146">
        <f>Resultatny!J18</f>
        <v>8264</v>
      </c>
      <c r="D81" s="146">
        <f>Resultatny!K18</f>
        <v>12749</v>
      </c>
      <c r="E81" s="146">
        <f>Resultatny!L18</f>
        <v>10219</v>
      </c>
      <c r="F81" s="146">
        <f>Resultatny!M18</f>
        <v>16742</v>
      </c>
      <c r="G81" s="225">
        <f>Resultatny!O18</f>
        <v>21313</v>
      </c>
      <c r="H81" s="146"/>
    </row>
    <row r="82" spans="2:12" x14ac:dyDescent="0.2">
      <c r="B82" s="198" t="s">
        <v>248</v>
      </c>
      <c r="C82" s="146">
        <f>Resultatny!J21</f>
        <v>-412.65</v>
      </c>
      <c r="D82" s="146">
        <f>Resultatny!K21</f>
        <v>8129.6039999999994</v>
      </c>
      <c r="E82" s="146">
        <f>Resultatny!L21</f>
        <v>4070.26</v>
      </c>
      <c r="F82" s="146">
        <f>Resultatny!M21</f>
        <v>2512.692</v>
      </c>
      <c r="G82" s="225">
        <f>Resultatny!O21</f>
        <v>-83328.567999999999</v>
      </c>
      <c r="H82" s="146"/>
    </row>
    <row r="83" spans="2:12" x14ac:dyDescent="0.2">
      <c r="B83" s="198" t="s">
        <v>250</v>
      </c>
      <c r="D83" s="146">
        <f>Balanseny!J101</f>
        <v>1687742</v>
      </c>
      <c r="E83" s="146">
        <f>Balanseny!K101</f>
        <v>1732513</v>
      </c>
      <c r="F83" s="146">
        <f>Balanseny!L101</f>
        <v>1659549</v>
      </c>
      <c r="G83" s="225">
        <f>Balanseny!M101</f>
        <v>269535</v>
      </c>
      <c r="H83" s="146"/>
    </row>
    <row r="84" spans="2:12" x14ac:dyDescent="0.2">
      <c r="B84" s="200" t="s">
        <v>249</v>
      </c>
      <c r="C84" s="219"/>
      <c r="D84" s="219">
        <f>(D80-D81-D82)/D83</f>
        <v>1.8795168929848283E-2</v>
      </c>
      <c r="E84" s="219">
        <f t="shared" ref="E84:G84" si="9">(E80-E81-E82)/E83</f>
        <v>8.0459656002581214E-3</v>
      </c>
      <c r="F84" s="219">
        <f t="shared" si="9"/>
        <v>4.9563513942643455E-3</v>
      </c>
      <c r="G84" s="226">
        <f t="shared" si="9"/>
        <v>0.27329871074257517</v>
      </c>
      <c r="H84" s="221"/>
    </row>
    <row r="85" spans="2:12" x14ac:dyDescent="0.2">
      <c r="B85" s="222"/>
    </row>
    <row r="86" spans="2:12" x14ac:dyDescent="0.2">
      <c r="B86" s="203"/>
      <c r="C86" s="204">
        <v>2016</v>
      </c>
      <c r="D86" s="204">
        <v>2017</v>
      </c>
      <c r="E86" s="204">
        <v>2018</v>
      </c>
      <c r="F86" s="204">
        <v>2019</v>
      </c>
      <c r="G86" s="205">
        <v>2020</v>
      </c>
      <c r="H86" s="119"/>
    </row>
    <row r="87" spans="2:12" x14ac:dyDescent="0.2">
      <c r="B87" s="198" t="s">
        <v>207</v>
      </c>
      <c r="D87" s="152">
        <f>D55</f>
        <v>0.15578403379762237</v>
      </c>
      <c r="E87" s="152">
        <f t="shared" ref="E87:G87" si="10">E55</f>
        <v>0.19442809323570145</v>
      </c>
      <c r="F87" s="152">
        <f t="shared" si="10"/>
        <v>0.20397595279938197</v>
      </c>
      <c r="G87" s="227">
        <f t="shared" si="10"/>
        <v>0.16372014359699369</v>
      </c>
      <c r="H87" s="299"/>
    </row>
    <row r="88" spans="2:12" x14ac:dyDescent="0.2">
      <c r="B88" s="198" t="s">
        <v>199</v>
      </c>
      <c r="D88" s="152">
        <f>C23</f>
        <v>0.11939199999999998</v>
      </c>
      <c r="E88" s="152">
        <f>D23</f>
        <v>0.11982399999999999</v>
      </c>
      <c r="F88" s="152">
        <f>E23</f>
        <v>0.11912199999999998</v>
      </c>
      <c r="G88" s="227">
        <f>F23</f>
        <v>0.11791599999999997</v>
      </c>
      <c r="H88" s="152"/>
    </row>
    <row r="89" spans="2:12" x14ac:dyDescent="0.2">
      <c r="B89" s="198" t="str">
        <f>B52</f>
        <v>Gj.snitt BVE</v>
      </c>
      <c r="D89" s="146">
        <f t="shared" ref="D89:G89" si="11">D52</f>
        <v>2778657</v>
      </c>
      <c r="E89" s="146">
        <f t="shared" si="11"/>
        <v>2987139</v>
      </c>
      <c r="F89" s="146">
        <f t="shared" si="11"/>
        <v>3249110</v>
      </c>
      <c r="G89" s="225">
        <f t="shared" si="11"/>
        <v>2909949.5</v>
      </c>
      <c r="H89" s="146"/>
    </row>
    <row r="90" spans="2:12" x14ac:dyDescent="0.2">
      <c r="B90" s="198" t="s">
        <v>252</v>
      </c>
      <c r="D90" s="146">
        <f>(D87-D88)*D89</f>
        <v>101120.97945600003</v>
      </c>
      <c r="E90" s="146">
        <f t="shared" ref="E90:G90" si="12">(E87-E88)*E89</f>
        <v>222852.79646400004</v>
      </c>
      <c r="F90" s="146">
        <f t="shared" si="12"/>
        <v>275699.82657999999</v>
      </c>
      <c r="G90" s="225">
        <f t="shared" si="12"/>
        <v>133287.7447580001</v>
      </c>
      <c r="H90" s="146"/>
      <c r="I90" s="146"/>
      <c r="J90" s="146"/>
      <c r="K90" s="146"/>
      <c r="L90" s="146"/>
    </row>
    <row r="91" spans="2:12" x14ac:dyDescent="0.2">
      <c r="B91" s="200" t="s">
        <v>263</v>
      </c>
      <c r="C91" s="19"/>
      <c r="D91" s="228"/>
      <c r="E91" s="218">
        <f>(E90-D90)/D90</f>
        <v>1.20382355533817</v>
      </c>
      <c r="F91" s="218">
        <f t="shared" ref="F91:G91" si="13">(F90-E90)/E90</f>
        <v>0.23713873442255384</v>
      </c>
      <c r="G91" s="229">
        <f t="shared" si="13"/>
        <v>-0.51654759304201481</v>
      </c>
      <c r="H91" s="220"/>
    </row>
    <row r="93" spans="2:12" x14ac:dyDescent="0.2">
      <c r="B93" s="203"/>
      <c r="C93" s="204">
        <f>D86</f>
        <v>2017</v>
      </c>
      <c r="D93" s="204">
        <f t="shared" ref="D93:F93" si="14">E86</f>
        <v>2018</v>
      </c>
      <c r="E93" s="204">
        <f t="shared" si="14"/>
        <v>2019</v>
      </c>
      <c r="F93" s="205">
        <f t="shared" si="14"/>
        <v>2020</v>
      </c>
    </row>
    <row r="94" spans="2:12" x14ac:dyDescent="0.2">
      <c r="B94" s="198" t="s">
        <v>193</v>
      </c>
      <c r="C94" s="152">
        <f>D62</f>
        <v>9.6433766423850376E-2</v>
      </c>
      <c r="D94" s="152">
        <f t="shared" ref="D94:F94" si="15">E62</f>
        <v>0.12401508807068716</v>
      </c>
      <c r="E94" s="152">
        <f t="shared" si="15"/>
        <v>0.15728406332559025</v>
      </c>
      <c r="F94" s="227">
        <f t="shared" si="15"/>
        <v>0.12417115708630115</v>
      </c>
    </row>
    <row r="95" spans="2:12" x14ac:dyDescent="0.2">
      <c r="B95" s="198" t="s">
        <v>255</v>
      </c>
      <c r="C95" s="152">
        <f>D84</f>
        <v>1.8795168929848283E-2</v>
      </c>
      <c r="D95" s="152">
        <f t="shared" ref="D95:F95" si="16">E84</f>
        <v>8.0459656002581214E-3</v>
      </c>
      <c r="E95" s="152">
        <f t="shared" si="16"/>
        <v>4.9563513942643455E-3</v>
      </c>
      <c r="F95" s="227">
        <f t="shared" si="16"/>
        <v>0.27329871074257517</v>
      </c>
    </row>
    <row r="96" spans="2:12" x14ac:dyDescent="0.2">
      <c r="B96" s="200" t="s">
        <v>262</v>
      </c>
      <c r="C96" s="230">
        <f>C94-C95</f>
        <v>7.7638597494002093E-2</v>
      </c>
      <c r="D96" s="230">
        <f t="shared" ref="D96:F96" si="17">D94-D95</f>
        <v>0.11596912247042904</v>
      </c>
      <c r="E96" s="230">
        <f t="shared" si="17"/>
        <v>0.15232771193132591</v>
      </c>
      <c r="F96" s="224">
        <f t="shared" si="17"/>
        <v>-0.149127553656274</v>
      </c>
    </row>
    <row r="98" spans="1:9" x14ac:dyDescent="0.2">
      <c r="A98" s="61"/>
      <c r="B98" s="61"/>
      <c r="C98" s="61"/>
      <c r="D98" s="61"/>
      <c r="E98" s="61"/>
      <c r="F98" s="61"/>
      <c r="G98" s="61"/>
      <c r="H98" s="61"/>
      <c r="I98" s="61"/>
    </row>
    <row r="99" spans="1:9" x14ac:dyDescent="0.2">
      <c r="A99" s="61"/>
      <c r="B99" s="239"/>
      <c r="C99" s="240">
        <f>C93</f>
        <v>2017</v>
      </c>
      <c r="D99" s="240">
        <f t="shared" ref="D99:F99" si="18">D93</f>
        <v>2018</v>
      </c>
      <c r="E99" s="240">
        <f t="shared" si="18"/>
        <v>2019</v>
      </c>
      <c r="F99" s="240">
        <f t="shared" si="18"/>
        <v>2020</v>
      </c>
      <c r="G99" s="223" t="s">
        <v>264</v>
      </c>
      <c r="H99" s="311"/>
      <c r="I99" s="61"/>
    </row>
    <row r="100" spans="1:9" x14ac:dyDescent="0.2">
      <c r="A100" s="61"/>
      <c r="B100" s="234" t="str">
        <f>B77</f>
        <v>Leverage</v>
      </c>
      <c r="C100" s="72">
        <f>D77</f>
        <v>0.60616757319965209</v>
      </c>
      <c r="D100" s="72">
        <f t="shared" ref="D100:F100" si="19">E77</f>
        <v>0.53256629364058561</v>
      </c>
      <c r="E100" s="72">
        <f t="shared" si="19"/>
        <v>7.9694945483317389E-2</v>
      </c>
      <c r="F100" s="72">
        <f t="shared" si="19"/>
        <v>0.64981346000414308</v>
      </c>
      <c r="G100" s="207">
        <f>AVERAGE(C100:F100)</f>
        <v>0.46706056808192453</v>
      </c>
      <c r="H100" s="72"/>
      <c r="I100" s="61"/>
    </row>
    <row r="101" spans="1:9" x14ac:dyDescent="0.2">
      <c r="A101" s="61"/>
      <c r="B101" s="232" t="str">
        <f>B84</f>
        <v>NBC (Net borrowing cost)</v>
      </c>
      <c r="C101" s="91">
        <f>D84</f>
        <v>1.8795168929848283E-2</v>
      </c>
      <c r="D101" s="91">
        <f t="shared" ref="D101:F101" si="20">E84</f>
        <v>8.0459656002581214E-3</v>
      </c>
      <c r="E101" s="91">
        <f t="shared" si="20"/>
        <v>4.9563513942643455E-3</v>
      </c>
      <c r="F101" s="91">
        <f t="shared" si="20"/>
        <v>0.27329871074257517</v>
      </c>
      <c r="G101" s="209">
        <f t="shared" ref="G101:G104" si="21">AVERAGE(C101:F101)</f>
        <v>7.6274049166736482E-2</v>
      </c>
      <c r="H101" s="72"/>
      <c r="I101" s="61"/>
    </row>
    <row r="102" spans="1:9" x14ac:dyDescent="0.2">
      <c r="A102" s="61"/>
      <c r="B102" s="234" t="str">
        <f>B90</f>
        <v>Residual income (RI)</v>
      </c>
      <c r="C102" s="202">
        <f>D90</f>
        <v>101120.97945600003</v>
      </c>
      <c r="D102" s="202">
        <f t="shared" ref="D102:F102" si="22">E90</f>
        <v>222852.79646400004</v>
      </c>
      <c r="E102" s="202">
        <f t="shared" si="22"/>
        <v>275699.82657999999</v>
      </c>
      <c r="F102" s="202">
        <f t="shared" si="22"/>
        <v>133287.7447580001</v>
      </c>
      <c r="G102" s="210">
        <f t="shared" si="21"/>
        <v>183240.33681450004</v>
      </c>
      <c r="H102" s="202"/>
      <c r="I102" s="61"/>
    </row>
    <row r="103" spans="1:9" x14ac:dyDescent="0.2">
      <c r="A103" s="61"/>
      <c r="B103" s="232" t="str">
        <f>B91</f>
        <v>Vekst RI</v>
      </c>
      <c r="C103" s="201"/>
      <c r="D103" s="233">
        <f>E91</f>
        <v>1.20382355533817</v>
      </c>
      <c r="E103" s="233">
        <f t="shared" ref="E103:F103" si="23">F91</f>
        <v>0.23713873442255384</v>
      </c>
      <c r="F103" s="233">
        <f t="shared" si="23"/>
        <v>-0.51654759304201481</v>
      </c>
      <c r="G103" s="209">
        <f t="shared" si="21"/>
        <v>0.30813823223956965</v>
      </c>
      <c r="H103" s="72"/>
      <c r="I103" s="61"/>
    </row>
    <row r="104" spans="1:9" x14ac:dyDescent="0.2">
      <c r="A104" s="61"/>
      <c r="B104" s="234" t="str">
        <f>B96</f>
        <v>Interest margin</v>
      </c>
      <c r="C104" s="72">
        <f>C96</f>
        <v>7.7638597494002093E-2</v>
      </c>
      <c r="D104" s="72">
        <f t="shared" ref="D104:F104" si="24">D96</f>
        <v>0.11596912247042904</v>
      </c>
      <c r="E104" s="72">
        <f t="shared" si="24"/>
        <v>0.15232771193132591</v>
      </c>
      <c r="F104" s="72">
        <f t="shared" si="24"/>
        <v>-0.149127553656274</v>
      </c>
      <c r="G104" s="207">
        <f t="shared" si="21"/>
        <v>4.9201969559870759E-2</v>
      </c>
      <c r="H104" s="72"/>
      <c r="I104" s="61"/>
    </row>
    <row r="105" spans="1:9" x14ac:dyDescent="0.2">
      <c r="A105" s="61"/>
      <c r="B105" s="238"/>
      <c r="C105" s="238"/>
      <c r="D105" s="238"/>
      <c r="E105" s="238"/>
      <c r="F105" s="238"/>
      <c r="G105" s="238"/>
      <c r="H105" s="190"/>
      <c r="I105" s="61"/>
    </row>
    <row r="106" spans="1:9" x14ac:dyDescent="0.2">
      <c r="A106" s="61"/>
      <c r="B106" s="61"/>
      <c r="C106" s="61"/>
      <c r="D106" s="61"/>
      <c r="E106" s="61"/>
      <c r="F106" s="61"/>
      <c r="G106" s="61"/>
      <c r="H106" s="61"/>
      <c r="I106" s="61"/>
    </row>
    <row r="107" spans="1:9" x14ac:dyDescent="0.2">
      <c r="A107" s="61"/>
      <c r="B107" s="61"/>
      <c r="C107" s="61"/>
      <c r="D107" s="61"/>
      <c r="E107" s="61"/>
      <c r="F107" s="61"/>
      <c r="G107" s="61"/>
      <c r="H107" s="61"/>
      <c r="I107" s="61"/>
    </row>
    <row r="108" spans="1:9" x14ac:dyDescent="0.2">
      <c r="A108" s="61"/>
      <c r="B108" s="61"/>
      <c r="C108" s="61"/>
      <c r="D108" s="61"/>
      <c r="E108" s="61"/>
      <c r="F108" s="61"/>
      <c r="G108" s="61"/>
      <c r="H108" s="61"/>
      <c r="I108" s="61"/>
    </row>
    <row r="109" spans="1:9" x14ac:dyDescent="0.2">
      <c r="A109" s="61"/>
      <c r="H109" s="61"/>
      <c r="I109" s="61"/>
    </row>
    <row r="110" spans="1:9" x14ac:dyDescent="0.2">
      <c r="H110" s="61"/>
      <c r="I110" s="61"/>
    </row>
    <row r="111" spans="1:9" x14ac:dyDescent="0.2">
      <c r="H111" s="61"/>
      <c r="I111" s="61"/>
    </row>
  </sheetData>
  <mergeCells count="2">
    <mergeCell ref="P7:T9"/>
    <mergeCell ref="B73:G73"/>
  </mergeCells>
  <pageMargins left="0.7" right="0.7" top="0.75" bottom="0.75" header="0.3" footer="0.3"/>
  <ignoredErrors>
    <ignoredError sqref="P29:T29" formula="1"/>
  </ignoredErrors>
  <drawing r:id="rId1"/>
  <legacyDrawing r:id="rId2"/>
  <extLst>
    <ext xmlns:x14="http://schemas.microsoft.com/office/spreadsheetml/2009/9/main" uri="{05C60535-1F16-4fd2-B633-F4F36F0B64E0}">
      <x14:sparklineGroups xmlns:xm="http://schemas.microsoft.com/office/excel/2006/main">
        <x14:sparklineGroup type="column" displayEmptyCellsAs="gap" high="1" xr2:uid="{CCE9EECF-9B32-8844-B423-2DD25E61F6A5}">
          <x14:colorSeries rgb="FF376092"/>
          <x14:colorNegative rgb="FFD00000"/>
          <x14:colorAxis rgb="FF000000"/>
          <x14:colorMarkers rgb="FFD00000"/>
          <x14:colorFirst rgb="FFD00000"/>
          <x14:colorLast rgb="FFD00000"/>
          <x14:colorHigh theme="9" tint="0.59999389629810485"/>
          <x14:colorLow rgb="FFD00000"/>
          <x14:sparklines>
            <x14:sparkline>
              <xm:f>Lønnsomhet!K17:N17</xm:f>
              <xm:sqref>O17</xm:sqref>
            </x14:sparkline>
            <x14:sparkline>
              <xm:f>Lønnsomhet!K18:N18</xm:f>
              <xm:sqref>O18</xm:sqref>
            </x14:sparkline>
            <x14:sparkline>
              <xm:f>Lønnsomhet!K19:N19</xm:f>
              <xm:sqref>O19</xm:sqref>
            </x14:sparkline>
            <x14:sparkline>
              <xm:f>Lønnsomhet!K20:N20</xm:f>
              <xm:sqref>O20</xm:sqref>
            </x14:sparkline>
            <x14:sparkline>
              <xm:f>Lønnsomhet!K21:N21</xm:f>
              <xm:sqref>O21</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0A639-6E8A-144D-8CF2-5FAEAA56F68B}">
  <dimension ref="B4:Q60"/>
  <sheetViews>
    <sheetView topLeftCell="A32" zoomScaleNormal="100" workbookViewId="0">
      <selection activeCell="T29" sqref="T29"/>
    </sheetView>
  </sheetViews>
  <sheetFormatPr baseColWidth="10" defaultRowHeight="16" x14ac:dyDescent="0.2"/>
  <cols>
    <col min="1" max="1" width="3.83203125" style="61" customWidth="1"/>
    <col min="2" max="2" width="30.33203125" style="61" bestFit="1" customWidth="1"/>
    <col min="3" max="3" width="10.83203125" style="61"/>
    <col min="4" max="7" width="14.1640625" style="61" bestFit="1" customWidth="1"/>
    <col min="8" max="10" width="10.83203125" style="61"/>
    <col min="11" max="11" width="22.5" style="61" bestFit="1" customWidth="1"/>
    <col min="12" max="16384" width="10.83203125" style="61"/>
  </cols>
  <sheetData>
    <row r="4" spans="2:17" x14ac:dyDescent="0.2">
      <c r="B4" s="119"/>
      <c r="C4" s="498">
        <v>2016</v>
      </c>
      <c r="D4" s="498">
        <v>2017</v>
      </c>
      <c r="E4" s="498">
        <v>2018</v>
      </c>
      <c r="F4" s="498">
        <v>2019</v>
      </c>
      <c r="G4" s="498">
        <v>2020</v>
      </c>
      <c r="H4" s="516" t="s">
        <v>268</v>
      </c>
      <c r="K4" s="119"/>
      <c r="L4" s="498">
        <v>2016</v>
      </c>
      <c r="M4" s="498">
        <v>2017</v>
      </c>
      <c r="N4" s="498">
        <v>2018</v>
      </c>
      <c r="O4" s="498">
        <v>2019</v>
      </c>
      <c r="P4" s="498">
        <v>2020</v>
      </c>
      <c r="Q4" s="516" t="s">
        <v>268</v>
      </c>
    </row>
    <row r="5" spans="2:17" x14ac:dyDescent="0.2">
      <c r="B5" s="61" t="str">
        <f>Lønnsomhet!B4</f>
        <v>NOPAT</v>
      </c>
      <c r="C5" s="202">
        <f>Lønnsomhet!C4</f>
        <v>298942.65000000002</v>
      </c>
      <c r="D5" s="202">
        <f>Lønnsomhet!D4</f>
        <v>432870.39600000001</v>
      </c>
      <c r="E5" s="202">
        <f>Lønnsomhet!E4</f>
        <v>580783.74</v>
      </c>
      <c r="F5" s="202">
        <f>Lønnsomhet!F4</f>
        <v>662740.30799999996</v>
      </c>
      <c r="G5" s="202">
        <f>Lønnsomhet!G4</f>
        <v>476417.35</v>
      </c>
      <c r="H5" s="202">
        <f>Lønnsomhet!H4</f>
        <v>552110.56799999997</v>
      </c>
      <c r="K5" s="61" t="str">
        <f>Lønnsomhet!B75</f>
        <v>NIBD</v>
      </c>
      <c r="L5" s="202">
        <f>Lønnsomhet!C75</f>
        <v>1687742</v>
      </c>
      <c r="M5" s="202">
        <f>Lønnsomhet!D75</f>
        <v>1732513</v>
      </c>
      <c r="N5" s="202">
        <f>Lønnsomhet!E75</f>
        <v>1659549</v>
      </c>
      <c r="O5" s="202">
        <f>Lønnsomhet!F75</f>
        <v>269535</v>
      </c>
      <c r="P5" s="202">
        <f>Lønnsomhet!G75</f>
        <v>1584125</v>
      </c>
    </row>
    <row r="6" spans="2:17" x14ac:dyDescent="0.2">
      <c r="B6" s="61" t="str">
        <f>Lønnsomhet!B5</f>
        <v>NOA</v>
      </c>
      <c r="C6" s="202">
        <f>Lønnsomhet!C5</f>
        <v>4386914</v>
      </c>
      <c r="D6" s="202">
        <f>Lønnsomhet!D5</f>
        <v>4590655</v>
      </c>
      <c r="E6" s="202">
        <f>Lønnsomhet!E5</f>
        <v>4775685</v>
      </c>
      <c r="F6" s="202">
        <f>Lønnsomhet!F5</f>
        <v>3651619</v>
      </c>
      <c r="G6" s="202">
        <f>Lønnsomhet!G5</f>
        <v>4021940</v>
      </c>
      <c r="H6" s="202">
        <f>Lønnsomhet!H5</f>
        <v>4021940</v>
      </c>
      <c r="K6" s="61" t="str">
        <f>Lønnsomhet!B76</f>
        <v>BVE</v>
      </c>
      <c r="L6" s="202">
        <f>Lønnsomhet!C76</f>
        <v>2699172</v>
      </c>
      <c r="M6" s="202">
        <f>Lønnsomhet!D76</f>
        <v>2858142</v>
      </c>
      <c r="N6" s="202">
        <f>Lønnsomhet!E76</f>
        <v>3116136</v>
      </c>
      <c r="O6" s="202">
        <f>Lønnsomhet!F76</f>
        <v>3382084</v>
      </c>
      <c r="P6" s="202">
        <f>Lønnsomhet!G76</f>
        <v>2437815</v>
      </c>
    </row>
    <row r="7" spans="2:17" x14ac:dyDescent="0.2">
      <c r="B7" s="61" t="str">
        <f>Lønnsomhet!B6</f>
        <v>NOA-1</v>
      </c>
      <c r="C7" s="202"/>
      <c r="D7" s="202">
        <f>Lønnsomhet!D6</f>
        <v>4386914</v>
      </c>
      <c r="E7" s="202">
        <f>Lønnsomhet!E6</f>
        <v>4590655</v>
      </c>
      <c r="F7" s="202">
        <f>Lønnsomhet!F6</f>
        <v>4775685</v>
      </c>
      <c r="G7" s="202">
        <f>Lønnsomhet!G6</f>
        <v>3651619</v>
      </c>
      <c r="H7" s="202">
        <f>Lønnsomhet!H6</f>
        <v>3651619</v>
      </c>
      <c r="K7" s="517" t="str">
        <f>Lønnsomhet!B77</f>
        <v>Leverage</v>
      </c>
      <c r="L7" s="519">
        <f>Lønnsomhet!C77</f>
        <v>0.62528138258695631</v>
      </c>
      <c r="M7" s="519">
        <f>Lønnsomhet!D77</f>
        <v>0.60616757319965209</v>
      </c>
      <c r="N7" s="519">
        <f>Lønnsomhet!E77</f>
        <v>0.53256629364058561</v>
      </c>
      <c r="O7" s="519">
        <f>Lønnsomhet!F77</f>
        <v>7.9694945483317389E-2</v>
      </c>
      <c r="P7" s="519">
        <f>Lønnsomhet!G77</f>
        <v>0.64981346000414308</v>
      </c>
    </row>
    <row r="8" spans="2:17" x14ac:dyDescent="0.2">
      <c r="B8" s="61" t="str">
        <f>Lønnsomhet!B7</f>
        <v>Gj.snitt NOA</v>
      </c>
      <c r="C8" s="202"/>
      <c r="D8" s="202">
        <f>Lønnsomhet!D7</f>
        <v>4488784.5</v>
      </c>
      <c r="E8" s="202">
        <f>Lønnsomhet!E7</f>
        <v>4683170</v>
      </c>
      <c r="F8" s="202">
        <f>Lønnsomhet!F7</f>
        <v>4213652</v>
      </c>
      <c r="G8" s="202">
        <f>Lønnsomhet!G7</f>
        <v>3836779.5</v>
      </c>
      <c r="H8" s="202">
        <f>Lønnsomhet!H7</f>
        <v>3836779.5</v>
      </c>
    </row>
    <row r="9" spans="2:17" x14ac:dyDescent="0.2">
      <c r="B9" s="517" t="str">
        <f>Lønnsomhet!B8</f>
        <v>ROIC (after tax)</v>
      </c>
      <c r="C9" s="518"/>
      <c r="D9" s="519">
        <f>D5/D8</f>
        <v>9.6433766423850376E-2</v>
      </c>
      <c r="E9" s="519">
        <f>Lønnsomhet!E8</f>
        <v>0.12401508807068716</v>
      </c>
      <c r="F9" s="519">
        <f>Lønnsomhet!F8</f>
        <v>0.15728406332559025</v>
      </c>
      <c r="G9" s="519">
        <f>Lønnsomhet!G8</f>
        <v>0.12417115708630115</v>
      </c>
      <c r="H9" s="519">
        <f>Lønnsomhet!H8</f>
        <v>0.14389947819518947</v>
      </c>
      <c r="K9" s="61" t="str">
        <f>Lønnsomhet!B80</f>
        <v>Finansielle kostnader</v>
      </c>
      <c r="L9" s="202">
        <f>Lønnsomhet!C80</f>
        <v>37585</v>
      </c>
      <c r="M9" s="202">
        <f>Lønnsomhet!D80</f>
        <v>52600</v>
      </c>
      <c r="N9" s="202">
        <f>Lønnsomhet!E80</f>
        <v>28229</v>
      </c>
      <c r="O9" s="202">
        <f>Lønnsomhet!F80</f>
        <v>27480</v>
      </c>
      <c r="P9" s="202">
        <f>Lønnsomhet!G80</f>
        <v>11648</v>
      </c>
    </row>
    <row r="10" spans="2:17" x14ac:dyDescent="0.2">
      <c r="C10" s="202"/>
      <c r="D10" s="202"/>
      <c r="E10" s="202"/>
      <c r="F10" s="202"/>
      <c r="G10" s="202"/>
      <c r="H10" s="202"/>
      <c r="K10" s="61" t="str">
        <f>Lønnsomhet!B81</f>
        <v>Finansielle inntekter</v>
      </c>
      <c r="L10" s="202">
        <f>Lønnsomhet!C81</f>
        <v>8264</v>
      </c>
      <c r="M10" s="202">
        <f>Lønnsomhet!D81</f>
        <v>12749</v>
      </c>
      <c r="N10" s="202">
        <f>Lønnsomhet!E81</f>
        <v>10219</v>
      </c>
      <c r="O10" s="202">
        <f>Lønnsomhet!F81</f>
        <v>16742</v>
      </c>
      <c r="P10" s="202">
        <f>Lønnsomhet!G81</f>
        <v>21313</v>
      </c>
    </row>
    <row r="11" spans="2:17" x14ac:dyDescent="0.2">
      <c r="B11" s="61" t="str">
        <f>Lønnsomhet!B10</f>
        <v>NOPAT</v>
      </c>
      <c r="C11" s="202">
        <f>Lønnsomhet!C10</f>
        <v>298942.65000000002</v>
      </c>
      <c r="D11" s="202">
        <f>Lønnsomhet!D10</f>
        <v>432870.39600000001</v>
      </c>
      <c r="E11" s="202">
        <f>Lønnsomhet!E10</f>
        <v>580783.74</v>
      </c>
      <c r="F11" s="202">
        <f>Lønnsomhet!F10</f>
        <v>662740.30799999996</v>
      </c>
      <c r="G11" s="202">
        <f>Lønnsomhet!G10</f>
        <v>476417.35</v>
      </c>
      <c r="H11" s="202">
        <f>Lønnsomhet!H10</f>
        <v>552110.56799999997</v>
      </c>
      <c r="K11" s="61" t="str">
        <f>Lønnsomhet!B82</f>
        <v>Tax-shield</v>
      </c>
      <c r="L11" s="202">
        <f>Lønnsomhet!C82</f>
        <v>-412.65</v>
      </c>
      <c r="M11" s="202">
        <f>Lønnsomhet!D82</f>
        <v>8129.6039999999994</v>
      </c>
      <c r="N11" s="202">
        <f>Lønnsomhet!E82</f>
        <v>4070.26</v>
      </c>
      <c r="O11" s="202">
        <f>Lønnsomhet!F82</f>
        <v>2512.692</v>
      </c>
      <c r="P11" s="202">
        <f>Lønnsomhet!G82</f>
        <v>-83328.567999999999</v>
      </c>
    </row>
    <row r="12" spans="2:17" x14ac:dyDescent="0.2">
      <c r="B12" s="61" t="str">
        <f>Lønnsomhet!B11</f>
        <v>Market value of NOA</v>
      </c>
      <c r="C12" s="202"/>
      <c r="D12" s="202">
        <f>Lønnsomhet!D11</f>
        <v>4843513</v>
      </c>
      <c r="E12" s="202">
        <f>Lønnsomhet!E11</f>
        <v>5418549</v>
      </c>
      <c r="F12" s="202">
        <f>Lønnsomhet!F11</f>
        <v>7182535</v>
      </c>
      <c r="G12" s="202">
        <f>Lønnsomhet!G11</f>
        <v>6998125</v>
      </c>
      <c r="H12" s="202">
        <f>Lønnsomhet!H11</f>
        <v>6998125</v>
      </c>
      <c r="K12" s="61" t="str">
        <f>Lønnsomhet!B83</f>
        <v>NIBD t-1</v>
      </c>
      <c r="L12" s="202"/>
      <c r="M12" s="202">
        <f>Lønnsomhet!D83</f>
        <v>1687742</v>
      </c>
      <c r="N12" s="202">
        <f>Lønnsomhet!E83</f>
        <v>1732513</v>
      </c>
      <c r="O12" s="202">
        <f>Lønnsomhet!F83</f>
        <v>1659549</v>
      </c>
      <c r="P12" s="202">
        <f>Lønnsomhet!G83</f>
        <v>269535</v>
      </c>
    </row>
    <row r="13" spans="2:17" x14ac:dyDescent="0.2">
      <c r="B13" s="61" t="str">
        <f>Lønnsomhet!B12</f>
        <v>Market value of NOA-1</v>
      </c>
      <c r="C13" s="202"/>
      <c r="D13" s="202">
        <f>Lønnsomhet!D12</f>
        <v>4386914</v>
      </c>
      <c r="E13" s="202">
        <f>Lønnsomhet!E12</f>
        <v>4843513</v>
      </c>
      <c r="F13" s="202">
        <f>Lønnsomhet!F12</f>
        <v>5418549</v>
      </c>
      <c r="G13" s="202">
        <f>Lønnsomhet!G12</f>
        <v>7182535</v>
      </c>
      <c r="H13" s="202">
        <f>Lønnsomhet!H12</f>
        <v>7182535</v>
      </c>
      <c r="K13" s="517" t="str">
        <f>Lønnsomhet!B84</f>
        <v>NBC (Net borrowing cost)</v>
      </c>
      <c r="L13" s="524"/>
      <c r="M13" s="519">
        <f>Lønnsomhet!D84</f>
        <v>1.8795168929848283E-2</v>
      </c>
      <c r="N13" s="519">
        <f>Lønnsomhet!E84</f>
        <v>8.0459656002581214E-3</v>
      </c>
      <c r="O13" s="519">
        <f>Lønnsomhet!F84</f>
        <v>4.9563513942643455E-3</v>
      </c>
      <c r="P13" s="519">
        <f>Lønnsomhet!G84</f>
        <v>0.27329871074257517</v>
      </c>
    </row>
    <row r="14" spans="2:17" x14ac:dyDescent="0.2">
      <c r="B14" s="61" t="str">
        <f>Lønnsomhet!B13</f>
        <v>Gj.snitt NOA</v>
      </c>
      <c r="C14" s="202"/>
      <c r="D14" s="202">
        <f>Lønnsomhet!D13</f>
        <v>4615213.5</v>
      </c>
      <c r="E14" s="202">
        <f>Lønnsomhet!E13</f>
        <v>5131031</v>
      </c>
      <c r="F14" s="202">
        <f>Lønnsomhet!F13</f>
        <v>6300542</v>
      </c>
      <c r="G14" s="202">
        <f>Lønnsomhet!G13</f>
        <v>7090330</v>
      </c>
      <c r="H14" s="202">
        <f>Lønnsomhet!H13</f>
        <v>7090330</v>
      </c>
    </row>
    <row r="15" spans="2:17" x14ac:dyDescent="0.2">
      <c r="B15" s="517" t="str">
        <f>Lønnsomhet!B14</f>
        <v>Market value ROIC (after tax)</v>
      </c>
      <c r="C15" s="518"/>
      <c r="D15" s="519">
        <f>Lønnsomhet!D14</f>
        <v>9.3792063140740942E-2</v>
      </c>
      <c r="E15" s="519">
        <f>Lønnsomhet!E14</f>
        <v>0.11319045626502744</v>
      </c>
      <c r="F15" s="519">
        <f>Lønnsomhet!F14</f>
        <v>0.10518782479348601</v>
      </c>
      <c r="G15" s="519">
        <f>Lønnsomhet!G14</f>
        <v>6.7192549571035473E-2</v>
      </c>
      <c r="H15" s="519">
        <f>Lønnsomhet!H14</f>
        <v>7.7868105997887266E-2</v>
      </c>
      <c r="K15" s="61" t="str">
        <f>Lønnsomhet!B87</f>
        <v>ROE</v>
      </c>
      <c r="M15" s="72">
        <f>Lønnsomhet!D87</f>
        <v>0.15578403379762237</v>
      </c>
      <c r="N15" s="72">
        <f>Lønnsomhet!E87</f>
        <v>0.19442809323570145</v>
      </c>
      <c r="O15" s="72">
        <f>Lønnsomhet!F87</f>
        <v>0.20397595279938197</v>
      </c>
      <c r="P15" s="72">
        <f>Lønnsomhet!G87</f>
        <v>0.16372014359699369</v>
      </c>
    </row>
    <row r="16" spans="2:17" x14ac:dyDescent="0.2">
      <c r="K16" s="61" t="str">
        <f>Lønnsomhet!B88</f>
        <v>re</v>
      </c>
      <c r="M16" s="72">
        <f>Lønnsomhet!D88</f>
        <v>0.11939199999999998</v>
      </c>
      <c r="N16" s="72">
        <f>Lønnsomhet!E88</f>
        <v>0.11982399999999999</v>
      </c>
      <c r="O16" s="72">
        <f>Lønnsomhet!F88</f>
        <v>0.11912199999999998</v>
      </c>
      <c r="P16" s="72">
        <f>Lønnsomhet!G88</f>
        <v>0.11791599999999997</v>
      </c>
    </row>
    <row r="17" spans="2:17" x14ac:dyDescent="0.2">
      <c r="B17" s="61" t="str">
        <f>Lønnsomhet!B19</f>
        <v>Rf (riskfree interest rate)</v>
      </c>
      <c r="D17" s="72">
        <f>Lønnsomhet!C19</f>
        <v>1.6400000000000001E-2</v>
      </c>
      <c r="E17" s="72">
        <f>Lønnsomhet!D19</f>
        <v>1.8800000000000001E-2</v>
      </c>
      <c r="F17" s="72">
        <f>Lønnsomhet!E19</f>
        <v>1.49E-2</v>
      </c>
      <c r="G17" s="72">
        <f>Lønnsomhet!F19</f>
        <v>8.2000000000000007E-3</v>
      </c>
      <c r="K17" s="61" t="str">
        <f>Lønnsomhet!B89</f>
        <v>Gj.snitt BVE</v>
      </c>
      <c r="M17" s="202">
        <f>Lønnsomhet!D89</f>
        <v>2778657</v>
      </c>
      <c r="N17" s="202">
        <f>Lønnsomhet!E89</f>
        <v>2987139</v>
      </c>
      <c r="O17" s="202">
        <f>Lønnsomhet!F89</f>
        <v>3249110</v>
      </c>
      <c r="P17" s="202">
        <f>Lønnsomhet!G89</f>
        <v>2909949.5</v>
      </c>
    </row>
    <row r="18" spans="2:17" x14ac:dyDescent="0.2">
      <c r="B18" s="61" t="str">
        <f>Lønnsomhet!B20</f>
        <v>beta E (5Y Monthly)</v>
      </c>
      <c r="D18" s="485">
        <f>Lønnsomhet!C20</f>
        <v>0.82</v>
      </c>
      <c r="E18" s="485">
        <f>Lønnsomhet!D20</f>
        <v>0.82</v>
      </c>
      <c r="F18" s="485">
        <f>Lønnsomhet!E20</f>
        <v>0.82</v>
      </c>
      <c r="G18" s="485">
        <f>Lønnsomhet!F20</f>
        <v>0.82</v>
      </c>
      <c r="K18" s="517" t="str">
        <f>Lønnsomhet!B90</f>
        <v>Residual income (RI)</v>
      </c>
      <c r="L18" s="238"/>
      <c r="M18" s="526">
        <f>Lønnsomhet!D90</f>
        <v>101120.97945600003</v>
      </c>
      <c r="N18" s="526">
        <f>Lønnsomhet!E90</f>
        <v>222852.79646400004</v>
      </c>
      <c r="O18" s="526">
        <f>Lønnsomhet!F90</f>
        <v>275699.82657999999</v>
      </c>
      <c r="P18" s="526">
        <f>Lønnsomhet!G90</f>
        <v>133287.7447580001</v>
      </c>
    </row>
    <row r="19" spans="2:17" x14ac:dyDescent="0.2">
      <c r="B19" s="61" t="str">
        <f>Lønnsomhet!B21</f>
        <v>Rm</v>
      </c>
      <c r="D19" s="72">
        <f>Lønnsomhet!C21</f>
        <v>0.14199999999999999</v>
      </c>
      <c r="E19" s="72">
        <f>Lønnsomhet!D21</f>
        <v>0.14199999999999999</v>
      </c>
      <c r="F19" s="72">
        <f>Lønnsomhet!E21</f>
        <v>0.14199999999999999</v>
      </c>
      <c r="G19" s="72">
        <f>Lønnsomhet!F21</f>
        <v>0.14199999999999999</v>
      </c>
      <c r="K19" s="517" t="str">
        <f>Lønnsomhet!B91</f>
        <v>Vekst RI</v>
      </c>
      <c r="L19" s="238"/>
      <c r="M19" s="524"/>
      <c r="N19" s="525">
        <f>Lønnsomhet!E91</f>
        <v>1.20382355533817</v>
      </c>
      <c r="O19" s="525">
        <f>Lønnsomhet!F91</f>
        <v>0.23713873442255384</v>
      </c>
      <c r="P19" s="525">
        <f>Lønnsomhet!G91</f>
        <v>-0.51654759304201481</v>
      </c>
    </row>
    <row r="20" spans="2:17" x14ac:dyDescent="0.2">
      <c r="B20" s="61" t="str">
        <f>Lønnsomhet!B22</f>
        <v>Markedets risikopremie (Rm - Rf)</v>
      </c>
      <c r="D20" s="72">
        <f>Lønnsomhet!C22</f>
        <v>0.12559999999999999</v>
      </c>
      <c r="E20" s="72">
        <f>Lønnsomhet!D22</f>
        <v>0.12319999999999999</v>
      </c>
      <c r="F20" s="72">
        <f>Lønnsomhet!E22</f>
        <v>0.12709999999999999</v>
      </c>
      <c r="G20" s="72">
        <f>Lønnsomhet!F22</f>
        <v>0.13379999999999997</v>
      </c>
    </row>
    <row r="21" spans="2:17" x14ac:dyDescent="0.2">
      <c r="B21" s="517" t="str">
        <f>Lønnsomhet!B23</f>
        <v>Re (required rate of return E)</v>
      </c>
      <c r="C21" s="238"/>
      <c r="D21" s="520">
        <f>Lønnsomhet!C23</f>
        <v>0.11939199999999998</v>
      </c>
      <c r="E21" s="520">
        <f>Lønnsomhet!D23</f>
        <v>0.11982399999999999</v>
      </c>
      <c r="F21" s="520">
        <f>Lønnsomhet!E23</f>
        <v>0.11912199999999998</v>
      </c>
      <c r="G21" s="520">
        <f>Lønnsomhet!F23</f>
        <v>0.11791599999999997</v>
      </c>
      <c r="K21" s="61" t="str">
        <f>Lønnsomhet!B94</f>
        <v>ROIC</v>
      </c>
      <c r="M21" s="72">
        <f>Lønnsomhet!C94</f>
        <v>9.6433766423850376E-2</v>
      </c>
      <c r="N21" s="72">
        <f>Lønnsomhet!D94</f>
        <v>0.12401508807068716</v>
      </c>
      <c r="O21" s="72">
        <f>Lønnsomhet!E94</f>
        <v>0.15728406332559025</v>
      </c>
      <c r="P21" s="72">
        <f>Lønnsomhet!F94</f>
        <v>0.12417115708630115</v>
      </c>
    </row>
    <row r="22" spans="2:17" x14ac:dyDescent="0.2">
      <c r="K22" s="61" t="str">
        <f>Lønnsomhet!B95</f>
        <v>NBC</v>
      </c>
      <c r="M22" s="72">
        <f>Lønnsomhet!C95</f>
        <v>1.8795168929848283E-2</v>
      </c>
      <c r="N22" s="72">
        <f>Lønnsomhet!D95</f>
        <v>8.0459656002581214E-3</v>
      </c>
      <c r="O22" s="72">
        <f>Lønnsomhet!E95</f>
        <v>4.9563513942643455E-3</v>
      </c>
      <c r="P22" s="72">
        <f>Lønnsomhet!F95</f>
        <v>0.27329871074257517</v>
      </c>
    </row>
    <row r="23" spans="2:17" x14ac:dyDescent="0.2">
      <c r="B23" s="61" t="str">
        <f>Lønnsomhet!B26</f>
        <v>NIBD</v>
      </c>
      <c r="D23" s="202">
        <f>Lønnsomhet!C26</f>
        <v>1732513</v>
      </c>
      <c r="E23" s="202">
        <f>Lønnsomhet!D26</f>
        <v>1659549</v>
      </c>
      <c r="F23" s="202">
        <f>Lønnsomhet!E26</f>
        <v>269535</v>
      </c>
      <c r="G23" s="202">
        <f>Lønnsomhet!F26</f>
        <v>1584125</v>
      </c>
      <c r="K23" s="517" t="str">
        <f>Lønnsomhet!B96</f>
        <v>Interest margin</v>
      </c>
      <c r="L23" s="238"/>
      <c r="M23" s="520">
        <f>Lønnsomhet!C96</f>
        <v>7.7638597494002093E-2</v>
      </c>
      <c r="N23" s="520">
        <f>Lønnsomhet!D96</f>
        <v>0.11596912247042904</v>
      </c>
      <c r="O23" s="520">
        <f>Lønnsomhet!E96</f>
        <v>0.15232771193132591</v>
      </c>
      <c r="P23" s="520">
        <f>Lønnsomhet!F96</f>
        <v>-0.149127553656274</v>
      </c>
    </row>
    <row r="24" spans="2:17" x14ac:dyDescent="0.2">
      <c r="B24" s="61" t="str">
        <f>Lønnsomhet!B27</f>
        <v>NIBD + MVE</v>
      </c>
      <c r="D24" s="202">
        <f>Lønnsomhet!C27</f>
        <v>4843513</v>
      </c>
      <c r="E24" s="202">
        <f>Lønnsomhet!D27</f>
        <v>5418549</v>
      </c>
      <c r="F24" s="202">
        <f>Lønnsomhet!E27</f>
        <v>7182535</v>
      </c>
      <c r="G24" s="202">
        <f>Lønnsomhet!F27</f>
        <v>6998125</v>
      </c>
    </row>
    <row r="25" spans="2:17" x14ac:dyDescent="0.2">
      <c r="B25" s="61" t="str">
        <f>Lønnsomhet!B28</f>
        <v>MVE (marketcap)</v>
      </c>
      <c r="D25" s="202">
        <f>Lønnsomhet!C28</f>
        <v>3111000</v>
      </c>
      <c r="E25" s="202">
        <f>Lønnsomhet!D28</f>
        <v>3759000</v>
      </c>
      <c r="F25" s="202">
        <f>Lønnsomhet!E28</f>
        <v>6913000</v>
      </c>
      <c r="G25" s="202">
        <f>Lønnsomhet!F28</f>
        <v>5414000</v>
      </c>
      <c r="K25" s="61" t="str">
        <f>Lønnsomhet!B100</f>
        <v>Leverage</v>
      </c>
      <c r="M25" s="72">
        <f>Lønnsomhet!C100</f>
        <v>0.60616757319965209</v>
      </c>
      <c r="N25" s="72">
        <f>Lønnsomhet!D100</f>
        <v>0.53256629364058561</v>
      </c>
      <c r="O25" s="72">
        <f>Lønnsomhet!E100</f>
        <v>7.9694945483317389E-2</v>
      </c>
      <c r="P25" s="72">
        <f>Lønnsomhet!F100</f>
        <v>0.64981346000414308</v>
      </c>
    </row>
    <row r="26" spans="2:17" x14ac:dyDescent="0.2">
      <c r="B26" s="61" t="str">
        <f>Lønnsomhet!B29</f>
        <v>Corp taxrate nom.</v>
      </c>
      <c r="D26" s="276">
        <f>Lønnsomhet!C29</f>
        <v>0.22</v>
      </c>
      <c r="E26" s="276">
        <f>Lønnsomhet!D29</f>
        <v>0.22</v>
      </c>
      <c r="F26" s="276">
        <f>Lønnsomhet!E29</f>
        <v>0.22</v>
      </c>
      <c r="G26" s="276">
        <f>Lønnsomhet!F29</f>
        <v>0.22</v>
      </c>
      <c r="K26" s="61" t="str">
        <f>Lønnsomhet!B101</f>
        <v>NBC (Net borrowing cost)</v>
      </c>
      <c r="M26" s="72">
        <f>Lønnsomhet!C101</f>
        <v>1.8795168929848283E-2</v>
      </c>
      <c r="N26" s="72">
        <f>Lønnsomhet!D101</f>
        <v>8.0459656002581214E-3</v>
      </c>
      <c r="O26" s="72">
        <f>Lønnsomhet!E101</f>
        <v>4.9563513942643455E-3</v>
      </c>
      <c r="P26" s="72">
        <f>Lønnsomhet!F101</f>
        <v>0.27329871074257517</v>
      </c>
    </row>
    <row r="27" spans="2:17" x14ac:dyDescent="0.2">
      <c r="B27" s="61" t="str">
        <f>Lønnsomhet!B30</f>
        <v xml:space="preserve">Rd </v>
      </c>
      <c r="D27" s="276">
        <f>Lønnsomhet!C30</f>
        <v>2.0014857031375812E-2</v>
      </c>
      <c r="E27" s="276">
        <f>Lønnsomhet!D30</f>
        <v>1.3823635216555823E-2</v>
      </c>
      <c r="F27" s="276">
        <f>Lønnsomhet!E30</f>
        <v>9.4032314912720058E-2</v>
      </c>
      <c r="G27" s="276">
        <f>Lønnsomhet!F30</f>
        <v>6.0159393987216916E-3</v>
      </c>
      <c r="K27" s="61" t="str">
        <f>Lønnsomhet!B102</f>
        <v>Residual income (RI)</v>
      </c>
      <c r="M27" s="202">
        <f>Lønnsomhet!C102</f>
        <v>101120.97945600003</v>
      </c>
      <c r="N27" s="202">
        <f>Lønnsomhet!D102</f>
        <v>222852.79646400004</v>
      </c>
      <c r="O27" s="202">
        <f>Lønnsomhet!E102</f>
        <v>275699.82657999999</v>
      </c>
      <c r="P27" s="202">
        <f>Lønnsomhet!F102</f>
        <v>133287.7447580001</v>
      </c>
    </row>
    <row r="28" spans="2:17" x14ac:dyDescent="0.2">
      <c r="B28" s="61" t="str">
        <f>Lønnsomhet!B31</f>
        <v>Re (required rate of return E)</v>
      </c>
      <c r="D28" s="276">
        <f>Lønnsomhet!C31</f>
        <v>0.11939199999999998</v>
      </c>
      <c r="E28" s="276">
        <f>Lønnsomhet!D31</f>
        <v>0.11982399999999999</v>
      </c>
      <c r="F28" s="276">
        <f>Lønnsomhet!E31</f>
        <v>0.11912199999999998</v>
      </c>
      <c r="G28" s="276">
        <f>Lønnsomhet!F31</f>
        <v>0.11791599999999997</v>
      </c>
      <c r="K28" s="61" t="str">
        <f>Lønnsomhet!B103</f>
        <v>Vekst RI</v>
      </c>
      <c r="M28" s="72">
        <f>Lønnsomhet!C103</f>
        <v>0</v>
      </c>
      <c r="N28" s="72">
        <f>Lønnsomhet!D103</f>
        <v>1.20382355533817</v>
      </c>
      <c r="O28" s="72">
        <f>Lønnsomhet!E103</f>
        <v>0.23713873442255384</v>
      </c>
      <c r="P28" s="72">
        <f>Lønnsomhet!F103</f>
        <v>-0.51654759304201481</v>
      </c>
    </row>
    <row r="29" spans="2:17" x14ac:dyDescent="0.2">
      <c r="B29" s="517" t="str">
        <f>Lønnsomhet!B32</f>
        <v>WACC</v>
      </c>
      <c r="C29" s="238"/>
      <c r="D29" s="519">
        <f>Lønnsomhet!C32</f>
        <v>8.2269995352546782E-2</v>
      </c>
      <c r="E29" s="519">
        <f>Lønnsomhet!D32</f>
        <v>8.6427638838367973E-2</v>
      </c>
      <c r="F29" s="519">
        <f>Lønnsomhet!E32</f>
        <v>0.11740415967343004</v>
      </c>
      <c r="G29" s="519">
        <f>Lønnsomhet!F32</f>
        <v>9.2286237242118388E-2</v>
      </c>
      <c r="K29" s="517" t="str">
        <f>Lønnsomhet!B104</f>
        <v>Interest margin</v>
      </c>
      <c r="L29" s="238"/>
      <c r="M29" s="520">
        <f>Lønnsomhet!C104</f>
        <v>7.7638597494002093E-2</v>
      </c>
      <c r="N29" s="520">
        <f>Lønnsomhet!D104</f>
        <v>0.11596912247042904</v>
      </c>
      <c r="O29" s="520">
        <f>Lønnsomhet!E104</f>
        <v>0.15232771193132591</v>
      </c>
      <c r="P29" s="520">
        <f>Lønnsomhet!F104</f>
        <v>-0.149127553656274</v>
      </c>
    </row>
    <row r="31" spans="2:17" x14ac:dyDescent="0.2">
      <c r="B31" s="61" t="str">
        <f>Lønnsomhet!B38</f>
        <v>Rentekostnad</v>
      </c>
      <c r="C31" s="202">
        <f>Lønnsomhet!C38</f>
        <v>30250</v>
      </c>
      <c r="D31" s="202">
        <f>Lønnsomhet!D38</f>
        <v>34676</v>
      </c>
      <c r="E31" s="202">
        <f>Lønnsomhet!E38</f>
        <v>22941</v>
      </c>
      <c r="F31" s="202">
        <f>Lønnsomhet!F38</f>
        <v>25345</v>
      </c>
      <c r="G31" s="202">
        <f>Lønnsomhet!G38</f>
        <v>9530</v>
      </c>
      <c r="K31" s="61" t="str">
        <f>Vekst!B9</f>
        <v>Dividends per share</v>
      </c>
      <c r="L31" s="61">
        <f>Vekst!C9</f>
        <v>1.6</v>
      </c>
      <c r="M31" s="61">
        <f>Vekst!D9</f>
        <v>3</v>
      </c>
      <c r="N31" s="61">
        <f>Vekst!E9</f>
        <v>4.5</v>
      </c>
      <c r="O31" s="61">
        <f>Vekst!F9</f>
        <v>3.5</v>
      </c>
      <c r="Q31" s="61">
        <f>Vekst!G9</f>
        <v>6</v>
      </c>
    </row>
    <row r="32" spans="2:17" x14ac:dyDescent="0.2">
      <c r="B32" s="61" t="str">
        <f>Lønnsomhet!B39</f>
        <v>NIBD</v>
      </c>
      <c r="C32" s="202">
        <f>Lønnsomhet!C39</f>
        <v>1687742</v>
      </c>
      <c r="D32" s="202">
        <f>Lønnsomhet!D39</f>
        <v>1732513</v>
      </c>
      <c r="E32" s="202">
        <f>Lønnsomhet!E39</f>
        <v>1659549</v>
      </c>
      <c r="F32" s="202">
        <f>Lønnsomhet!F39</f>
        <v>269535</v>
      </c>
      <c r="G32" s="202">
        <f>Lønnsomhet!G39</f>
        <v>1584125</v>
      </c>
      <c r="K32" s="61" t="str">
        <f>Vekst!B10</f>
        <v>EPS</v>
      </c>
      <c r="L32" s="61">
        <f>Vekst!C10</f>
        <v>3.21</v>
      </c>
      <c r="M32" s="61">
        <f>Vekst!D10</f>
        <v>4.3499999999999996</v>
      </c>
      <c r="N32" s="61">
        <f>Vekst!E10</f>
        <v>6.14</v>
      </c>
      <c r="O32" s="61">
        <f>Vekst!F10</f>
        <v>7.04</v>
      </c>
      <c r="Q32" s="61">
        <f>Vekst!G10</f>
        <v>5.31</v>
      </c>
    </row>
    <row r="33" spans="2:17" x14ac:dyDescent="0.2">
      <c r="B33" s="517" t="str">
        <f>Lønnsomhet!B40</f>
        <v>rd</v>
      </c>
      <c r="C33" s="519">
        <f>Lønnsomhet!C40</f>
        <v>1.7923355583969586E-2</v>
      </c>
      <c r="D33" s="519">
        <f>Lønnsomhet!D40</f>
        <v>2.0014857031375812E-2</v>
      </c>
      <c r="E33" s="519">
        <f>Lønnsomhet!E40</f>
        <v>1.3823635216555823E-2</v>
      </c>
      <c r="F33" s="519">
        <f>Lønnsomhet!F40</f>
        <v>9.4032314912720058E-2</v>
      </c>
      <c r="G33" s="519">
        <f>Lønnsomhet!G40</f>
        <v>6.0159393987216916E-3</v>
      </c>
      <c r="K33" s="517" t="str">
        <f>Vekst!B11</f>
        <v>Dividend payout ratio</v>
      </c>
      <c r="L33" s="519">
        <f>Vekst!C11</f>
        <v>0.49844236760124616</v>
      </c>
      <c r="M33" s="519">
        <f>Vekst!D11</f>
        <v>0.68965517241379315</v>
      </c>
      <c r="N33" s="519">
        <f>Vekst!E11</f>
        <v>0.73289902280130292</v>
      </c>
      <c r="O33" s="519">
        <f>Vekst!F11</f>
        <v>0.49715909090909088</v>
      </c>
      <c r="P33" s="517"/>
      <c r="Q33" s="519">
        <f>Vekst!G11</f>
        <v>1.1299435028248588</v>
      </c>
    </row>
    <row r="35" spans="2:17" x14ac:dyDescent="0.2">
      <c r="B35" s="61" t="str">
        <f>Lønnsomhet!B43</f>
        <v>ROIC</v>
      </c>
      <c r="C35" s="72"/>
      <c r="D35" s="72">
        <f>Lønnsomhet!D43</f>
        <v>9.6433766423850376E-2</v>
      </c>
      <c r="E35" s="72">
        <f>Lønnsomhet!E43</f>
        <v>0.12401508807068716</v>
      </c>
      <c r="F35" s="72">
        <f>Lønnsomhet!F43</f>
        <v>0.15728406332559025</v>
      </c>
      <c r="G35" s="72">
        <f>Lønnsomhet!G43</f>
        <v>0.12417115708630115</v>
      </c>
      <c r="K35" s="61" t="str">
        <f>Vekst!B14</f>
        <v>Return on equity</v>
      </c>
      <c r="M35" s="72">
        <f>Vekst!C14</f>
        <v>0.15578403379762237</v>
      </c>
      <c r="N35" s="72">
        <f>Vekst!D14</f>
        <v>0.19442809323570145</v>
      </c>
      <c r="O35" s="72">
        <f>Vekst!E14</f>
        <v>0.20397595279938197</v>
      </c>
      <c r="Q35" s="72">
        <f>Vekst!F14</f>
        <v>0.16372014359699369</v>
      </c>
    </row>
    <row r="36" spans="2:17" x14ac:dyDescent="0.2">
      <c r="B36" s="61" t="str">
        <f>Lønnsomhet!B44</f>
        <v>WACC</v>
      </c>
      <c r="C36" s="72"/>
      <c r="D36" s="72">
        <f>Lønnsomhet!D44</f>
        <v>8.2269995352546782E-2</v>
      </c>
      <c r="E36" s="72">
        <f>Lønnsomhet!E44</f>
        <v>8.6427638838367973E-2</v>
      </c>
      <c r="F36" s="72">
        <f>Lønnsomhet!F44</f>
        <v>0.11740415967343004</v>
      </c>
      <c r="G36" s="72">
        <f>Lønnsomhet!G44</f>
        <v>9.2286237242118388E-2</v>
      </c>
      <c r="K36" s="61" t="str">
        <f>Vekst!B15</f>
        <v>Payout ratio</v>
      </c>
      <c r="M36" s="72">
        <f>Vekst!C15</f>
        <v>0.68965517241379315</v>
      </c>
      <c r="N36" s="72">
        <f>Vekst!D15</f>
        <v>0.73289902280130292</v>
      </c>
      <c r="O36" s="72">
        <f>Vekst!E15</f>
        <v>0.49715909090909088</v>
      </c>
      <c r="Q36" s="72">
        <f>Vekst!F15</f>
        <v>1.1299435028248588</v>
      </c>
    </row>
    <row r="37" spans="2:17" x14ac:dyDescent="0.2">
      <c r="B37" s="61" t="str">
        <f>Lønnsomhet!B45</f>
        <v>Gj.snitt NOA</v>
      </c>
      <c r="C37" s="202"/>
      <c r="D37" s="202">
        <f>Lønnsomhet!D45</f>
        <v>4488784.5</v>
      </c>
      <c r="E37" s="202">
        <f>Lønnsomhet!E45</f>
        <v>4683170</v>
      </c>
      <c r="F37" s="202">
        <f>Lønnsomhet!F45</f>
        <v>4213652</v>
      </c>
      <c r="G37" s="202">
        <f>Lønnsomhet!G45</f>
        <v>3836779.5</v>
      </c>
      <c r="K37" s="517" t="str">
        <f>Vekst!B16</f>
        <v>Sustainable growth rate</v>
      </c>
      <c r="L37" s="517"/>
      <c r="M37" s="520">
        <f>Vekst!C16</f>
        <v>4.8346769109606939E-2</v>
      </c>
      <c r="N37" s="520">
        <f>Vekst!D16</f>
        <v>5.1931933698135244E-2</v>
      </c>
      <c r="O37" s="520">
        <f>Vekst!E16</f>
        <v>0.10256745353832561</v>
      </c>
      <c r="P37" s="517"/>
      <c r="Q37" s="520">
        <f>Vekst!F16</f>
        <v>-2.1274368941982234E-2</v>
      </c>
    </row>
    <row r="38" spans="2:17" x14ac:dyDescent="0.2">
      <c r="B38" s="517" t="str">
        <f>Lønnsomhet!B46</f>
        <v>EVA (economic value added)</v>
      </c>
      <c r="C38" s="521"/>
      <c r="D38" s="521">
        <f>Lønnsomhet!D46</f>
        <v>63578.116046415962</v>
      </c>
      <c r="E38" s="521">
        <f>Lønnsomhet!E46</f>
        <v>176028.41462132023</v>
      </c>
      <c r="F38" s="521">
        <f>Lønnsomhet!F46</f>
        <v>168040.03578373216</v>
      </c>
      <c r="G38" s="521">
        <f>Lønnsomhet!G46</f>
        <v>122335.40681730362</v>
      </c>
    </row>
    <row r="39" spans="2:17" x14ac:dyDescent="0.2">
      <c r="B39" s="517" t="str">
        <f>Lønnsomhet!B47</f>
        <v>EVA i % av Gj.snitt NOA</v>
      </c>
      <c r="C39" s="522"/>
      <c r="D39" s="523">
        <f>Lønnsomhet!D47</f>
        <v>1.4163771071303594E-2</v>
      </c>
      <c r="E39" s="523">
        <f>Lønnsomhet!E47</f>
        <v>3.7587449232319187E-2</v>
      </c>
      <c r="F39" s="523">
        <f>Lønnsomhet!F47</f>
        <v>3.9879903652160209E-2</v>
      </c>
      <c r="G39" s="523">
        <f>Lønnsomhet!G47</f>
        <v>3.1884919844182763E-2</v>
      </c>
      <c r="K39" s="61" t="str">
        <f>Vekst!J21</f>
        <v>Utbytte per aksje</v>
      </c>
      <c r="L39" s="61">
        <f>Vekst!K21</f>
        <v>1.6</v>
      </c>
      <c r="M39" s="61">
        <f>Vekst!L21</f>
        <v>3</v>
      </c>
      <c r="N39" s="61">
        <f>Vekst!M21</f>
        <v>4.5</v>
      </c>
      <c r="O39" s="61">
        <f>Vekst!N21</f>
        <v>3.5</v>
      </c>
      <c r="Q39" s="61">
        <f>Vekst!O21</f>
        <v>6</v>
      </c>
    </row>
    <row r="40" spans="2:17" x14ac:dyDescent="0.2">
      <c r="K40" s="517" t="str">
        <f>Vekst!J22</f>
        <v>Vekst i utbytte %</v>
      </c>
      <c r="L40" s="527"/>
      <c r="M40" s="527">
        <f>Vekst!L22</f>
        <v>0.87499999999999989</v>
      </c>
      <c r="N40" s="527">
        <f>Vekst!M22</f>
        <v>0.5</v>
      </c>
      <c r="O40" s="527">
        <f>Vekst!N22</f>
        <v>-0.22222222222222221</v>
      </c>
      <c r="P40" s="517"/>
      <c r="Q40" s="527">
        <f>Vekst!O22</f>
        <v>0.7142857142857143</v>
      </c>
    </row>
    <row r="41" spans="2:17" x14ac:dyDescent="0.2">
      <c r="B41" s="61" t="str">
        <f>Lønnsomhet!B50</f>
        <v>Net profit after tax</v>
      </c>
      <c r="C41" s="202">
        <f>Lønnsomhet!C50</f>
        <v>298942.65000000002</v>
      </c>
      <c r="D41" s="202">
        <f>Lønnsomhet!D50</f>
        <v>432870.39600000001</v>
      </c>
      <c r="E41" s="202">
        <f>Lønnsomhet!E50</f>
        <v>580783.74</v>
      </c>
      <c r="F41" s="202">
        <f>Lønnsomhet!F50</f>
        <v>662740.30799999996</v>
      </c>
      <c r="G41" s="202">
        <f>Lønnsomhet!G50</f>
        <v>476417.35</v>
      </c>
      <c r="H41" s="202">
        <f>Lønnsomhet!H50</f>
        <v>552110.56799999997</v>
      </c>
    </row>
    <row r="42" spans="2:17" x14ac:dyDescent="0.2">
      <c r="B42" s="61" t="str">
        <f>Lønnsomhet!B51</f>
        <v>BVE</v>
      </c>
      <c r="C42" s="202">
        <f>Lønnsomhet!C51</f>
        <v>2699172</v>
      </c>
      <c r="D42" s="202">
        <f>Lønnsomhet!D51</f>
        <v>2858142</v>
      </c>
      <c r="E42" s="202">
        <f>Lønnsomhet!E51</f>
        <v>3116136</v>
      </c>
      <c r="F42" s="202">
        <f>Lønnsomhet!F51</f>
        <v>3382084</v>
      </c>
      <c r="G42" s="202">
        <f>Lønnsomhet!G51</f>
        <v>2437815</v>
      </c>
      <c r="H42" s="202">
        <f>Lønnsomhet!H51</f>
        <v>2437815</v>
      </c>
    </row>
    <row r="43" spans="2:17" x14ac:dyDescent="0.2">
      <c r="B43" s="61" t="str">
        <f>Lønnsomhet!B52</f>
        <v>Gj.snitt BVE</v>
      </c>
      <c r="C43" s="202"/>
      <c r="D43" s="202">
        <f>Lønnsomhet!D52</f>
        <v>2778657</v>
      </c>
      <c r="E43" s="202">
        <f>Lønnsomhet!E52</f>
        <v>2987139</v>
      </c>
      <c r="F43" s="202">
        <f>Lønnsomhet!F52</f>
        <v>3249110</v>
      </c>
      <c r="G43" s="202">
        <f>Lønnsomhet!G52</f>
        <v>2909949.5</v>
      </c>
      <c r="H43" s="202">
        <f>Lønnsomhet!H52</f>
        <v>2909949.5</v>
      </c>
    </row>
    <row r="44" spans="2:17" x14ac:dyDescent="0.2">
      <c r="B44" s="61" t="str">
        <f>Lønnsomhet!B53</f>
        <v>MVE</v>
      </c>
      <c r="C44" s="202">
        <f>Lønnsomhet!C53</f>
        <v>3735000</v>
      </c>
      <c r="D44" s="202">
        <f>Lønnsomhet!D53</f>
        <v>3111000</v>
      </c>
      <c r="E44" s="202">
        <f>Lønnsomhet!E53</f>
        <v>3759000</v>
      </c>
      <c r="F44" s="202">
        <f>Lønnsomhet!F53</f>
        <v>6913000</v>
      </c>
      <c r="G44" s="202">
        <f>Lønnsomhet!G53</f>
        <v>5414000</v>
      </c>
      <c r="H44" s="202">
        <f>Lønnsomhet!H53</f>
        <v>5414000</v>
      </c>
    </row>
    <row r="45" spans="2:17" x14ac:dyDescent="0.2">
      <c r="B45" s="61" t="str">
        <f>Lønnsomhet!B54</f>
        <v>Gj.snitt MVE</v>
      </c>
      <c r="C45" s="202"/>
      <c r="D45" s="202">
        <f>Lønnsomhet!D54</f>
        <v>3423000</v>
      </c>
      <c r="E45" s="202">
        <f>Lønnsomhet!E54</f>
        <v>3435000</v>
      </c>
      <c r="F45" s="202">
        <f>Lønnsomhet!F54</f>
        <v>5336000</v>
      </c>
      <c r="G45" s="202">
        <f>Lønnsomhet!G54</f>
        <v>6163500</v>
      </c>
      <c r="H45" s="202">
        <f>Lønnsomhet!H54</f>
        <v>6163500</v>
      </c>
    </row>
    <row r="46" spans="2:17" x14ac:dyDescent="0.2">
      <c r="B46" s="517" t="str">
        <f>Lønnsomhet!B55</f>
        <v>ROE</v>
      </c>
      <c r="C46" s="518"/>
      <c r="D46" s="519">
        <f>Lønnsomhet!D55</f>
        <v>0.15578403379762237</v>
      </c>
      <c r="E46" s="519">
        <f>Lønnsomhet!E55</f>
        <v>0.19442809323570145</v>
      </c>
      <c r="F46" s="519">
        <f>Lønnsomhet!F55</f>
        <v>0.20397595279938197</v>
      </c>
      <c r="G46" s="519">
        <f>Lønnsomhet!G55</f>
        <v>0.16372014359699369</v>
      </c>
      <c r="H46" s="519">
        <f>Lønnsomhet!H55</f>
        <v>0.18973201012594892</v>
      </c>
    </row>
    <row r="47" spans="2:17" x14ac:dyDescent="0.2">
      <c r="B47" s="517" t="str">
        <f>Lønnsomhet!B56</f>
        <v>Market value ROE</v>
      </c>
      <c r="C47" s="518"/>
      <c r="D47" s="519">
        <f>Lønnsomhet!D56</f>
        <v>0.12645936196319019</v>
      </c>
      <c r="E47" s="519">
        <f>Lønnsomhet!E56</f>
        <v>0.16907823580786027</v>
      </c>
      <c r="F47" s="519">
        <f>Lønnsomhet!F56</f>
        <v>0.12420170689655172</v>
      </c>
      <c r="G47" s="519">
        <f>Lønnsomhet!G56</f>
        <v>7.7296560395878955E-2</v>
      </c>
      <c r="H47" s="519">
        <f>Lønnsomhet!H56</f>
        <v>8.9577442686785094E-2</v>
      </c>
    </row>
    <row r="49" spans="2:8" x14ac:dyDescent="0.2">
      <c r="B49" s="61" t="str">
        <f>Lønnsomhet!B59</f>
        <v>WACC</v>
      </c>
      <c r="D49" s="72">
        <f>Lønnsomhet!D59</f>
        <v>8.2269995352546782E-2</v>
      </c>
      <c r="E49" s="72">
        <f>Lønnsomhet!E59</f>
        <v>8.6427638838367973E-2</v>
      </c>
      <c r="F49" s="72">
        <f>Lønnsomhet!F59</f>
        <v>0.11740415967343004</v>
      </c>
      <c r="G49" s="72">
        <f>Lønnsomhet!G59</f>
        <v>9.2286237242118388E-2</v>
      </c>
      <c r="H49" s="72"/>
    </row>
    <row r="50" spans="2:8" x14ac:dyDescent="0.2">
      <c r="B50" s="61" t="str">
        <f>Lønnsomhet!B60</f>
        <v>re (required rate of return E)</v>
      </c>
      <c r="D50" s="72">
        <f>Lønnsomhet!D60</f>
        <v>0.11939199999999998</v>
      </c>
      <c r="E50" s="72">
        <f>Lønnsomhet!E60</f>
        <v>0.11982399999999999</v>
      </c>
      <c r="F50" s="72">
        <f>Lønnsomhet!F60</f>
        <v>0.11912199999999998</v>
      </c>
      <c r="G50" s="72">
        <f>Lønnsomhet!G60</f>
        <v>0.11791599999999997</v>
      </c>
      <c r="H50" s="72"/>
    </row>
    <row r="51" spans="2:8" x14ac:dyDescent="0.2">
      <c r="B51" s="61" t="str">
        <f>Lønnsomhet!B61</f>
        <v>ROE</v>
      </c>
      <c r="D51" s="72">
        <f>Lønnsomhet!D61</f>
        <v>0.15578403379762237</v>
      </c>
      <c r="E51" s="72">
        <f>Lønnsomhet!E61</f>
        <v>0.19442809323570145</v>
      </c>
      <c r="F51" s="72">
        <f>Lønnsomhet!F61</f>
        <v>0.20397595279938197</v>
      </c>
      <c r="G51" s="72">
        <f>Lønnsomhet!G61</f>
        <v>0.16372014359699369</v>
      </c>
      <c r="H51" s="72"/>
    </row>
    <row r="52" spans="2:8" x14ac:dyDescent="0.2">
      <c r="B52" s="517" t="str">
        <f>Lønnsomhet!B62</f>
        <v>ROIC after tax</v>
      </c>
      <c r="C52" s="238"/>
      <c r="D52" s="520">
        <f>Lønnsomhet!D62</f>
        <v>9.6433766423850376E-2</v>
      </c>
      <c r="E52" s="520">
        <f>Lønnsomhet!E62</f>
        <v>0.12401508807068716</v>
      </c>
      <c r="F52" s="520">
        <f>Lønnsomhet!F62</f>
        <v>0.15728406332559025</v>
      </c>
      <c r="G52" s="520">
        <f>Lønnsomhet!G62</f>
        <v>0.12417115708630115</v>
      </c>
      <c r="H52" s="515"/>
    </row>
    <row r="54" spans="2:8" x14ac:dyDescent="0.2">
      <c r="B54" s="61" t="str">
        <f>Lønnsomhet!B65</f>
        <v>Inntekt</v>
      </c>
      <c r="C54" s="202"/>
      <c r="D54" s="202">
        <f>Lønnsomhet!D65</f>
        <v>3228832</v>
      </c>
      <c r="E54" s="202">
        <f>Lønnsomhet!E65</f>
        <v>3342075</v>
      </c>
      <c r="F54" s="202">
        <f>Lønnsomhet!F65</f>
        <v>3368838</v>
      </c>
      <c r="G54" s="202">
        <f>Lønnsomhet!G65</f>
        <v>2697950</v>
      </c>
    </row>
    <row r="55" spans="2:8" x14ac:dyDescent="0.2">
      <c r="B55" s="61" t="str">
        <f>Lønnsomhet!B66</f>
        <v>Invested capital (Gj.snitt NOA)</v>
      </c>
      <c r="C55" s="202"/>
      <c r="D55" s="202">
        <f>Lønnsomhet!D66</f>
        <v>4590655</v>
      </c>
      <c r="E55" s="202">
        <f>Lønnsomhet!E66</f>
        <v>4775685</v>
      </c>
      <c r="F55" s="202">
        <f>Lønnsomhet!F66</f>
        <v>3651619</v>
      </c>
      <c r="G55" s="202">
        <f>Lønnsomhet!G66</f>
        <v>4021940</v>
      </c>
    </row>
    <row r="56" spans="2:8" x14ac:dyDescent="0.2">
      <c r="B56" s="517" t="str">
        <f>Lønnsomhet!B67</f>
        <v>Invested capital turnover rate (ICT)</v>
      </c>
      <c r="C56" s="524"/>
      <c r="D56" s="525">
        <f>Lønnsomhet!D67</f>
        <v>0.70334886851658418</v>
      </c>
      <c r="E56" s="525">
        <f>Lønnsomhet!E67</f>
        <v>0.69981060308625886</v>
      </c>
      <c r="F56" s="525">
        <f>Lønnsomhet!F67</f>
        <v>0.92256010279276124</v>
      </c>
      <c r="G56" s="525">
        <f>Lønnsomhet!G67</f>
        <v>0.67080811747564606</v>
      </c>
    </row>
    <row r="57" spans="2:8" x14ac:dyDescent="0.2">
      <c r="C57" s="202"/>
      <c r="D57" s="202"/>
      <c r="E57" s="202"/>
      <c r="F57" s="202"/>
      <c r="G57" s="202"/>
    </row>
    <row r="58" spans="2:8" x14ac:dyDescent="0.2">
      <c r="B58" s="61" t="str">
        <f>Lønnsomhet!B69</f>
        <v>NOPAT (after tax)</v>
      </c>
      <c r="C58" s="202">
        <f>Lønnsomhet!C69</f>
        <v>298942.65000000002</v>
      </c>
      <c r="D58" s="202">
        <f>Lønnsomhet!D69</f>
        <v>432870.39600000001</v>
      </c>
      <c r="E58" s="202">
        <f>Lønnsomhet!E69</f>
        <v>580783.74</v>
      </c>
      <c r="F58" s="202">
        <f>Lønnsomhet!F69</f>
        <v>662740.30799999996</v>
      </c>
      <c r="G58" s="202">
        <f>Lønnsomhet!G69</f>
        <v>476417.35</v>
      </c>
    </row>
    <row r="59" spans="2:8" x14ac:dyDescent="0.2">
      <c r="B59" s="61" t="str">
        <f>Lønnsomhet!B70</f>
        <v>Revenue</v>
      </c>
      <c r="C59" s="202">
        <f>Lønnsomhet!C70</f>
        <v>3000347</v>
      </c>
      <c r="D59" s="202">
        <f>Lønnsomhet!D70</f>
        <v>3228832</v>
      </c>
      <c r="E59" s="202">
        <f>Lønnsomhet!E70</f>
        <v>3342075</v>
      </c>
      <c r="F59" s="202">
        <f>Lønnsomhet!F70</f>
        <v>3368838</v>
      </c>
      <c r="G59" s="202">
        <f>Lønnsomhet!G70</f>
        <v>2697950</v>
      </c>
    </row>
    <row r="60" spans="2:8" x14ac:dyDescent="0.2">
      <c r="B60" s="517" t="str">
        <f>Lønnsomhet!B71</f>
        <v>Operating profit margin</v>
      </c>
      <c r="C60" s="519">
        <f>Lønnsomhet!C71</f>
        <v>9.9636025433058245E-2</v>
      </c>
      <c r="D60" s="519">
        <f>Lønnsomhet!D71</f>
        <v>0.13406408137679507</v>
      </c>
      <c r="E60" s="519">
        <f>Lønnsomhet!E71</f>
        <v>0.17377938556136532</v>
      </c>
      <c r="F60" s="519">
        <f>Lønnsomhet!F71</f>
        <v>0.1967266778634057</v>
      </c>
      <c r="G60" s="519">
        <f>Lønnsomhet!G71</f>
        <v>0.17658494412424247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Resultat</vt:lpstr>
      <vt:lpstr>Sheet5</vt:lpstr>
      <vt:lpstr>Resultatny</vt:lpstr>
      <vt:lpstr>F.cast FCF</vt:lpstr>
      <vt:lpstr>Valuation</vt:lpstr>
      <vt:lpstr>F.cast Resultat</vt:lpstr>
      <vt:lpstr>F.cast Balanse</vt:lpstr>
      <vt:lpstr>Lønnsomhet</vt:lpstr>
      <vt:lpstr>NØKKELTALL</vt:lpstr>
      <vt:lpstr>Vekst</vt:lpstr>
      <vt:lpstr>Oppgaven</vt:lpstr>
      <vt:lpstr>Balanse</vt:lpstr>
      <vt:lpstr>Balanseny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2022-03-09T16:23:02Z</dcterms:created>
  <dcterms:modified xsi:type="dcterms:W3CDTF">2023-03-22T14:10:44Z</dcterms:modified>
</cp:coreProperties>
</file>